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Sailing\IRSA\Technical\Classes\2018_Certificates\"/>
    </mc:Choice>
  </mc:AlternateContent>
  <workbookProtection workbookAlgorithmName="SHA-512" workbookHashValue="zUNfmM0tsWTiIR+gej4NaTy2aFQoUXgAmWdbTDXJzxpqqjKAV+eOlr6zs42PsY81Tb/WqJUWA03h9MBiDqgC4A==" workbookSaltValue="L4VOS/Ul/5GPpG2/WpCciQ==" workbookSpinCount="100000" lockStructure="1"/>
  <bookViews>
    <workbookView xWindow="0" yWindow="0" windowWidth="23040" windowHeight="9192" tabRatio="869"/>
  </bookViews>
  <sheets>
    <sheet name="status of document" sheetId="4" r:id="rId1"/>
    <sheet name="bridge bow hollow" sheetId="6" r:id="rId2"/>
    <sheet name="minimum B and J dimensions" sheetId="5" r:id="rId3"/>
    <sheet name="data input for certificate" sheetId="2" r:id="rId4"/>
    <sheet name="certificate page 1 - cover" sheetId="3" r:id="rId5"/>
    <sheet name="certificate page 2 - rating" sheetId="1" r:id="rId6"/>
  </sheets>
  <definedNames>
    <definedName name="_xlnm.Print_Area" localSheetId="1">'bridge bow hollow'!$B$2:$K$130</definedName>
    <definedName name="_xlnm.Print_Area" localSheetId="4">'certificate page 1 - cover'!$B$2:$J$60</definedName>
    <definedName name="_xlnm.Print_Area" localSheetId="5">'certificate page 2 - rating'!$B$2:$X$53</definedName>
    <definedName name="_xlnm.Print_Area" localSheetId="3">'data input for certificate'!$B$3:$P$55</definedName>
    <definedName name="_xlnm.Print_Area" localSheetId="2">'minimum B and J dimensions'!$B$2:$J$60</definedName>
  </definedNames>
  <calcPr calcId="162913"/>
</workbook>
</file>

<file path=xl/calcChain.xml><?xml version="1.0" encoding="utf-8"?>
<calcChain xmlns="http://schemas.openxmlformats.org/spreadsheetml/2006/main">
  <c r="AA16" i="2" l="1"/>
  <c r="AA17" i="2" s="1"/>
  <c r="AA19" i="2" s="1"/>
  <c r="N21" i="2"/>
  <c r="N38" i="2"/>
  <c r="V56" i="5"/>
  <c r="X56" i="5" s="1"/>
  <c r="Y56" i="5" s="1"/>
  <c r="Z56" i="5" s="1"/>
  <c r="Z58" i="5" s="1"/>
  <c r="V50" i="5"/>
  <c r="X50" i="5"/>
  <c r="Y50" i="5" s="1"/>
  <c r="Z50" i="5" s="1"/>
  <c r="V49" i="5"/>
  <c r="X49" i="5"/>
  <c r="Y49" i="5" s="1"/>
  <c r="Z49" i="5" s="1"/>
  <c r="V48" i="5"/>
  <c r="X48" i="5"/>
  <c r="Y48" i="5" s="1"/>
  <c r="Z48" i="5" s="1"/>
  <c r="V47" i="5"/>
  <c r="X47" i="5"/>
  <c r="Y47" i="5" s="1"/>
  <c r="Z47" i="5" s="1"/>
  <c r="Z52" i="5" s="1"/>
  <c r="V41" i="5"/>
  <c r="Y41" i="5"/>
  <c r="Z41" i="5" s="1"/>
  <c r="Z43" i="5" s="1"/>
  <c r="V33" i="5"/>
  <c r="X33" i="5"/>
  <c r="Y33" i="5" s="1"/>
  <c r="Z33" i="5" s="1"/>
  <c r="Z35" i="5" s="1"/>
  <c r="V27" i="5"/>
  <c r="X27" i="5" s="1"/>
  <c r="Y27" i="5" s="1"/>
  <c r="Z27" i="5" s="1"/>
  <c r="V26" i="5"/>
  <c r="X26" i="5" s="1"/>
  <c r="Y26" i="5" s="1"/>
  <c r="Z26" i="5" s="1"/>
  <c r="V25" i="5"/>
  <c r="X25" i="5" s="1"/>
  <c r="Y25" i="5" s="1"/>
  <c r="Z25" i="5" s="1"/>
  <c r="V24" i="5"/>
  <c r="X24" i="5" s="1"/>
  <c r="Y24" i="5" s="1"/>
  <c r="Z24" i="5" s="1"/>
  <c r="Z29" i="5" s="1"/>
  <c r="V18" i="5"/>
  <c r="X18" i="5" s="1"/>
  <c r="Y18" i="5" s="1"/>
  <c r="Z18" i="5" s="1"/>
  <c r="V17" i="5"/>
  <c r="X17" i="5" s="1"/>
  <c r="Y17" i="5" s="1"/>
  <c r="Z17" i="5" s="1"/>
  <c r="V16" i="5"/>
  <c r="X16" i="5" s="1"/>
  <c r="Y16" i="5" s="1"/>
  <c r="Z16" i="5" s="1"/>
  <c r="V15" i="5"/>
  <c r="X15" i="5" s="1"/>
  <c r="Y15" i="5" s="1"/>
  <c r="Z15" i="5" s="1"/>
  <c r="Z20" i="5" s="1"/>
  <c r="N56" i="5"/>
  <c r="P56" i="5" s="1"/>
  <c r="Q56" i="5" s="1"/>
  <c r="R56" i="5" s="1"/>
  <c r="R58" i="5" s="1"/>
  <c r="N50" i="5"/>
  <c r="P50" i="5" s="1"/>
  <c r="Q50" i="5" s="1"/>
  <c r="R50" i="5" s="1"/>
  <c r="N49" i="5"/>
  <c r="P49" i="5" s="1"/>
  <c r="Q49" i="5" s="1"/>
  <c r="R49" i="5" s="1"/>
  <c r="N48" i="5"/>
  <c r="P48" i="5" s="1"/>
  <c r="Q48" i="5" s="1"/>
  <c r="R48" i="5" s="1"/>
  <c r="N47" i="5"/>
  <c r="P47" i="5" s="1"/>
  <c r="Q47" i="5" s="1"/>
  <c r="R47" i="5" s="1"/>
  <c r="N41" i="5"/>
  <c r="Q41" i="5" s="1"/>
  <c r="R41" i="5" s="1"/>
  <c r="R43" i="5" s="1"/>
  <c r="N33" i="5"/>
  <c r="P33" i="5" s="1"/>
  <c r="Q33" i="5" s="1"/>
  <c r="R33" i="5" s="1"/>
  <c r="R35" i="5" s="1"/>
  <c r="N27" i="5"/>
  <c r="P27" i="5" s="1"/>
  <c r="Q27" i="5" s="1"/>
  <c r="R27" i="5" s="1"/>
  <c r="N26" i="5"/>
  <c r="P26" i="5" s="1"/>
  <c r="Q26" i="5" s="1"/>
  <c r="R26" i="5" s="1"/>
  <c r="N25" i="5"/>
  <c r="P25" i="5" s="1"/>
  <c r="Q25" i="5" s="1"/>
  <c r="R25" i="5" s="1"/>
  <c r="N24" i="5"/>
  <c r="P24" i="5" s="1"/>
  <c r="Q24" i="5"/>
  <c r="R24" i="5" s="1"/>
  <c r="N18" i="5"/>
  <c r="P18" i="5" s="1"/>
  <c r="Q18" i="5" s="1"/>
  <c r="R18" i="5" s="1"/>
  <c r="N17" i="5"/>
  <c r="P17" i="5" s="1"/>
  <c r="Q17" i="5"/>
  <c r="R17" i="5" s="1"/>
  <c r="N16" i="5"/>
  <c r="P16" i="5" s="1"/>
  <c r="Q16" i="5" s="1"/>
  <c r="R16" i="5" s="1"/>
  <c r="N15" i="5"/>
  <c r="P15" i="5" s="1"/>
  <c r="Q15" i="5"/>
  <c r="R15" i="5" s="1"/>
  <c r="W39" i="2"/>
  <c r="D17" i="3" s="1"/>
  <c r="F17" i="3" s="1"/>
  <c r="W38" i="2"/>
  <c r="D16" i="3"/>
  <c r="W37" i="2"/>
  <c r="D15" i="3"/>
  <c r="F15" i="3" s="1"/>
  <c r="V39" i="2"/>
  <c r="B17" i="3" s="1"/>
  <c r="V38" i="2"/>
  <c r="B16" i="3" s="1"/>
  <c r="V37" i="2"/>
  <c r="B15" i="3" s="1"/>
  <c r="U39" i="2"/>
  <c r="U28" i="1" s="1"/>
  <c r="U38" i="2"/>
  <c r="U26" i="1" s="1"/>
  <c r="U37" i="2"/>
  <c r="U24" i="1" s="1"/>
  <c r="T38" i="2"/>
  <c r="T26" i="1" s="1"/>
  <c r="F16" i="3" s="1"/>
  <c r="F56" i="5"/>
  <c r="H56" i="5"/>
  <c r="I56" i="5" s="1"/>
  <c r="J56" i="5" s="1"/>
  <c r="J58" i="5" s="1"/>
  <c r="F50" i="5"/>
  <c r="H50" i="5" s="1"/>
  <c r="I50" i="5" s="1"/>
  <c r="J50" i="5" s="1"/>
  <c r="F49" i="5"/>
  <c r="H49" i="5" s="1"/>
  <c r="I49" i="5" s="1"/>
  <c r="J49" i="5" s="1"/>
  <c r="F48" i="5"/>
  <c r="H48" i="5" s="1"/>
  <c r="I48" i="5" s="1"/>
  <c r="J48" i="5" s="1"/>
  <c r="F47" i="5"/>
  <c r="H47" i="5" s="1"/>
  <c r="I47" i="5" s="1"/>
  <c r="J47" i="5" s="1"/>
  <c r="J52" i="5" s="1"/>
  <c r="F41" i="5"/>
  <c r="I41" i="5" s="1"/>
  <c r="J41" i="5" s="1"/>
  <c r="J43" i="5" s="1"/>
  <c r="B101" i="6"/>
  <c r="D101" i="6"/>
  <c r="E101" i="6"/>
  <c r="B60" i="5"/>
  <c r="I55" i="2"/>
  <c r="N55" i="2"/>
  <c r="J60" i="5"/>
  <c r="C60" i="5"/>
  <c r="M55" i="2"/>
  <c r="U4" i="1"/>
  <c r="R32" i="2"/>
  <c r="F38" i="1" s="1"/>
  <c r="R21" i="2"/>
  <c r="L5" i="1"/>
  <c r="R24" i="2"/>
  <c r="L8" i="1"/>
  <c r="R22" i="2"/>
  <c r="L6" i="1"/>
  <c r="R23" i="2"/>
  <c r="L7" i="1"/>
  <c r="N23" i="2"/>
  <c r="X53" i="1"/>
  <c r="J60" i="3"/>
  <c r="B60" i="3"/>
  <c r="B4" i="3"/>
  <c r="M7" i="2"/>
  <c r="M6" i="2"/>
  <c r="J6" i="5"/>
  <c r="J5" i="5"/>
  <c r="E5" i="6"/>
  <c r="E6" i="6"/>
  <c r="R43" i="2"/>
  <c r="E19" i="3" s="1"/>
  <c r="F19" i="3" s="1"/>
  <c r="B16" i="6"/>
  <c r="B14" i="6" s="1"/>
  <c r="B15" i="6" s="1"/>
  <c r="N22" i="2" s="1"/>
  <c r="N18" i="2"/>
  <c r="K4" i="1"/>
  <c r="D34" i="3"/>
  <c r="D41" i="3"/>
  <c r="D40" i="3"/>
  <c r="Z41" i="2"/>
  <c r="Z40" i="2"/>
  <c r="Z39" i="2"/>
  <c r="Z38" i="2"/>
  <c r="Z37" i="2"/>
  <c r="Z34" i="2"/>
  <c r="Y34" i="2"/>
  <c r="Z33" i="2"/>
  <c r="Y33" i="2"/>
  <c r="Z32" i="2"/>
  <c r="Y32" i="2"/>
  <c r="Z29" i="2"/>
  <c r="Z27" i="2"/>
  <c r="Z26" i="2"/>
  <c r="Z21" i="2"/>
  <c r="Z44" i="2" s="1"/>
  <c r="E8" i="1"/>
  <c r="E7" i="1"/>
  <c r="E6" i="1"/>
  <c r="H25" i="2"/>
  <c r="H22" i="2"/>
  <c r="H15" i="2"/>
  <c r="U53" i="1"/>
  <c r="I60" i="3"/>
  <c r="B7" i="2"/>
  <c r="C6" i="5"/>
  <c r="B6" i="6"/>
  <c r="D37" i="3"/>
  <c r="D36" i="3"/>
  <c r="D38" i="3"/>
  <c r="D39" i="3"/>
  <c r="D35" i="3"/>
  <c r="R52" i="2"/>
  <c r="R51" i="2"/>
  <c r="R50" i="2"/>
  <c r="R42" i="2"/>
  <c r="E18" i="3" s="1"/>
  <c r="R41" i="2"/>
  <c r="T37" i="2"/>
  <c r="T24" i="1" s="1"/>
  <c r="E15" i="3" s="1"/>
  <c r="G15" i="3" s="1"/>
  <c r="R40" i="2"/>
  <c r="T18" i="1" s="1"/>
  <c r="E12" i="3" s="1"/>
  <c r="G12" i="3" s="1"/>
  <c r="R39" i="2"/>
  <c r="R38" i="2"/>
  <c r="O17" i="1"/>
  <c r="E7" i="3" s="1"/>
  <c r="G7" i="3" s="1"/>
  <c r="R37" i="2"/>
  <c r="O16" i="1" s="1"/>
  <c r="E6" i="3" s="1"/>
  <c r="G6" i="3" s="1"/>
  <c r="S34" i="2"/>
  <c r="H40" i="1" s="1"/>
  <c r="S33" i="2"/>
  <c r="H39" i="1"/>
  <c r="S32" i="2"/>
  <c r="H38" i="1" s="1"/>
  <c r="R34" i="2"/>
  <c r="F40" i="1"/>
  <c r="R33" i="2"/>
  <c r="F39" i="1" s="1"/>
  <c r="L39" i="1" s="1"/>
  <c r="R29" i="2"/>
  <c r="V9" i="1" s="1"/>
  <c r="R27" i="2"/>
  <c r="F11" i="1"/>
  <c r="R26" i="2"/>
  <c r="F10" i="1" s="1"/>
  <c r="R20" i="2"/>
  <c r="R19" i="2"/>
  <c r="R18" i="2"/>
  <c r="F27" i="5"/>
  <c r="H27" i="5"/>
  <c r="I27" i="5" s="1"/>
  <c r="J27" i="5" s="1"/>
  <c r="F24" i="5"/>
  <c r="H24" i="5"/>
  <c r="I24" i="5" s="1"/>
  <c r="J24" i="5" s="1"/>
  <c r="J29" i="5" s="1"/>
  <c r="F25" i="5"/>
  <c r="H25" i="5"/>
  <c r="I25" i="5" s="1"/>
  <c r="J25" i="5" s="1"/>
  <c r="F26" i="5"/>
  <c r="H26" i="5"/>
  <c r="I26" i="5" s="1"/>
  <c r="J26" i="5" s="1"/>
  <c r="F15" i="5"/>
  <c r="H15" i="5"/>
  <c r="I15" i="5" s="1"/>
  <c r="J15" i="5" s="1"/>
  <c r="F16" i="5"/>
  <c r="H16" i="5" s="1"/>
  <c r="I16" i="5" s="1"/>
  <c r="J16" i="5" s="1"/>
  <c r="F17" i="5"/>
  <c r="H17" i="5" s="1"/>
  <c r="I17" i="5" s="1"/>
  <c r="J17" i="5" s="1"/>
  <c r="F18" i="5"/>
  <c r="H18" i="5" s="1"/>
  <c r="I18" i="5" s="1"/>
  <c r="J18" i="5" s="1"/>
  <c r="F33" i="5"/>
  <c r="H33" i="5" s="1"/>
  <c r="I33" i="5" s="1"/>
  <c r="J33" i="5" s="1"/>
  <c r="J35" i="5" s="1"/>
  <c r="B53" i="1"/>
  <c r="T27" i="2"/>
  <c r="T28" i="2" s="1"/>
  <c r="N27" i="2" s="1"/>
  <c r="T19" i="2"/>
  <c r="T20" i="2" s="1"/>
  <c r="T21" i="2" s="1"/>
  <c r="N17" i="2"/>
  <c r="N42" i="2"/>
  <c r="N37" i="2"/>
  <c r="R16" i="2"/>
  <c r="F21" i="1"/>
  <c r="I21" i="1" s="1"/>
  <c r="F24" i="1" s="1"/>
  <c r="I24" i="1" s="1"/>
  <c r="N29" i="2"/>
  <c r="N41" i="2"/>
  <c r="N40" i="2"/>
  <c r="H41" i="2"/>
  <c r="H40" i="2"/>
  <c r="H18" i="2"/>
  <c r="H17" i="2"/>
  <c r="H19" i="2"/>
  <c r="H20" i="2"/>
  <c r="H16" i="2"/>
  <c r="N26" i="2"/>
  <c r="N39" i="2"/>
  <c r="N33" i="2"/>
  <c r="N34" i="2"/>
  <c r="N32" i="2"/>
  <c r="N16" i="2"/>
  <c r="P32" i="1"/>
  <c r="P33" i="1" s="1"/>
  <c r="E22" i="3"/>
  <c r="F22" i="3" s="1"/>
  <c r="G22" i="3"/>
  <c r="E21" i="3"/>
  <c r="F21" i="3"/>
  <c r="M47" i="2"/>
  <c r="R47" i="2" s="1"/>
  <c r="O25" i="1" s="1"/>
  <c r="E9" i="3" s="1"/>
  <c r="G9" i="3" s="1"/>
  <c r="M49" i="2"/>
  <c r="R49" i="2" s="1"/>
  <c r="T22" i="1" s="1"/>
  <c r="E14" i="3" s="1"/>
  <c r="G14" i="3" s="1"/>
  <c r="O29" i="1"/>
  <c r="E11" i="3" s="1"/>
  <c r="G11" i="3" s="1"/>
  <c r="M46" i="2"/>
  <c r="R46" i="2"/>
  <c r="O27" i="1" s="1"/>
  <c r="E10" i="3" s="1"/>
  <c r="G10" i="3" s="1"/>
  <c r="G21" i="3"/>
  <c r="M48" i="2"/>
  <c r="R48" i="2" s="1"/>
  <c r="O23" i="1" s="1"/>
  <c r="E8" i="3" s="1"/>
  <c r="G8" i="3" s="1"/>
  <c r="B13" i="6"/>
  <c r="R25" i="2"/>
  <c r="T32" i="1"/>
  <c r="E13" i="3" s="1"/>
  <c r="G13" i="3" s="1"/>
  <c r="T39" i="2"/>
  <c r="T28" i="1"/>
  <c r="Q40" i="1"/>
  <c r="L9" i="1"/>
  <c r="M25" i="2"/>
  <c r="E23" i="3"/>
  <c r="I30" i="1"/>
  <c r="V10" i="1"/>
  <c r="E24" i="3" s="1"/>
  <c r="G24" i="3" s="1"/>
  <c r="I28" i="1"/>
  <c r="Z25" i="2"/>
  <c r="N44" i="2"/>
  <c r="J53" i="2"/>
  <c r="F23" i="3"/>
  <c r="G23" i="3"/>
  <c r="AA18" i="2"/>
  <c r="AA20" i="2" s="1"/>
  <c r="V37" i="1"/>
  <c r="Q37" i="1"/>
  <c r="P2" i="1" l="1"/>
  <c r="E60" i="3"/>
  <c r="E4" i="6"/>
  <c r="F2" i="5"/>
  <c r="R20" i="5"/>
  <c r="E27" i="3"/>
  <c r="G27" i="3" s="1"/>
  <c r="E16" i="3"/>
  <c r="G16" i="3" s="1"/>
  <c r="E17" i="3"/>
  <c r="G17" i="3" s="1"/>
  <c r="I31" i="1"/>
  <c r="L26" i="1"/>
  <c r="R29" i="5"/>
  <c r="I32" i="1"/>
  <c r="L33" i="1" s="1"/>
  <c r="L40" i="1"/>
  <c r="G19" i="3"/>
  <c r="V5" i="1"/>
  <c r="V40" i="1"/>
  <c r="V42" i="1" s="1"/>
  <c r="J20" i="5"/>
  <c r="V11" i="1"/>
  <c r="V12" i="1" s="1"/>
  <c r="L38" i="1"/>
  <c r="L41" i="1" s="1"/>
  <c r="L42" i="1" s="1"/>
  <c r="V6" i="1" s="1"/>
  <c r="I12" i="1"/>
  <c r="F18" i="3"/>
  <c r="G18" i="3"/>
  <c r="R52" i="5"/>
  <c r="I13" i="1"/>
  <c r="L34" i="1" l="1"/>
  <c r="V7" i="1"/>
  <c r="V8" i="1" s="1"/>
  <c r="X13" i="1" s="1"/>
  <c r="E25" i="3"/>
  <c r="E26" i="3"/>
  <c r="G26" i="3" s="1"/>
  <c r="I14" i="1"/>
  <c r="L15" i="1" s="1"/>
  <c r="L16" i="1" s="1"/>
  <c r="Q45" i="1"/>
  <c r="V45" i="1"/>
  <c r="F25" i="3" l="1"/>
  <c r="E28" i="3"/>
  <c r="F28" i="3" s="1"/>
  <c r="S47" i="1"/>
  <c r="P47" i="1"/>
  <c r="AB57" i="1"/>
  <c r="AB53" i="1"/>
  <c r="AB55" i="1" s="1"/>
  <c r="S48" i="1"/>
  <c r="X47" i="1"/>
  <c r="AB47" i="1" l="1"/>
  <c r="X50" i="1"/>
  <c r="O54" i="2"/>
  <c r="AB59" i="1"/>
  <c r="AB50" i="1" l="1"/>
  <c r="O53" i="2"/>
  <c r="AD59" i="1"/>
  <c r="AE59" i="1" s="1"/>
  <c r="AB61" i="1"/>
  <c r="AD61" i="1" l="1"/>
  <c r="AE61" i="1" s="1"/>
  <c r="AB69" i="1"/>
  <c r="AD69" i="1" s="1"/>
  <c r="AE69" i="1" s="1"/>
  <c r="AB63" i="1"/>
  <c r="AD63" i="1" s="1"/>
  <c r="AE63" i="1" s="1"/>
  <c r="AB65" i="1" l="1"/>
  <c r="AD65" i="1" s="1"/>
  <c r="O39" i="2" s="1"/>
  <c r="AB67" i="1"/>
  <c r="AD67" i="1" s="1"/>
  <c r="O38" i="2" s="1"/>
  <c r="AB71" i="1"/>
  <c r="AD71" i="1" s="1"/>
  <c r="O40" i="2" s="1"/>
  <c r="AB73" i="1"/>
  <c r="AD73" i="1" s="1"/>
  <c r="O41" i="2" s="1"/>
</calcChain>
</file>

<file path=xl/sharedStrings.xml><?xml version="1.0" encoding="utf-8"?>
<sst xmlns="http://schemas.openxmlformats.org/spreadsheetml/2006/main" count="594" uniqueCount="352">
  <si>
    <t>Fore</t>
  </si>
  <si>
    <t>Aft</t>
  </si>
  <si>
    <t>Mid</t>
  </si>
  <si>
    <t>u</t>
  </si>
  <si>
    <t>w</t>
  </si>
  <si>
    <t>Excess</t>
  </si>
  <si>
    <t>+</t>
  </si>
  <si>
    <t>MEASURED LENGTHS</t>
  </si>
  <si>
    <t>DISPLACEMENT</t>
  </si>
  <si>
    <r>
      <t>3</t>
    </r>
    <r>
      <rPr>
        <sz val="10"/>
        <rFont val="Symbol"/>
        <family val="1"/>
        <charset val="2"/>
      </rPr>
      <t>Ö</t>
    </r>
  </si>
  <si>
    <r>
      <t xml:space="preserve">  x 10</t>
    </r>
    <r>
      <rPr>
        <vertAlign val="superscript"/>
        <sz val="10"/>
        <rFont val="Arial"/>
        <family val="2"/>
      </rPr>
      <t>6</t>
    </r>
    <r>
      <rPr>
        <sz val="10"/>
        <rFont val="Arial"/>
        <family val="2"/>
      </rPr>
      <t xml:space="preserve">   </t>
    </r>
    <r>
      <rPr>
        <sz val="10"/>
        <rFont val="Wingdings 3"/>
        <family val="1"/>
        <charset val="2"/>
      </rPr>
      <t>w</t>
    </r>
  </si>
  <si>
    <t>q</t>
  </si>
  <si>
    <t>p</t>
  </si>
  <si>
    <t>Enter smaller of two figures</t>
  </si>
  <si>
    <t>0.2 LWL + 25</t>
  </si>
  <si>
    <t>0.2 LWL + 10</t>
  </si>
  <si>
    <t>Difference</t>
  </si>
  <si>
    <t>-</t>
  </si>
  <si>
    <t>Port</t>
  </si>
  <si>
    <t>Starboard</t>
  </si>
  <si>
    <t>FREEBOARD</t>
  </si>
  <si>
    <t>Measured</t>
  </si>
  <si>
    <t>Draught measured</t>
  </si>
  <si>
    <t>Draught without penalty (0.16LWL + 89)</t>
  </si>
  <si>
    <t>K</t>
  </si>
  <si>
    <t>B</t>
  </si>
  <si>
    <t>A</t>
  </si>
  <si>
    <t>A x B</t>
  </si>
  <si>
    <t>0.85 x I x J</t>
  </si>
  <si>
    <t>RATING</t>
  </si>
  <si>
    <t>Date</t>
  </si>
  <si>
    <t>Signature</t>
  </si>
  <si>
    <t>Position</t>
  </si>
  <si>
    <t>CHANGE OF OWNERSHIP</t>
  </si>
  <si>
    <t>Address</t>
  </si>
  <si>
    <r>
      <t xml:space="preserve">1.  This </t>
    </r>
    <r>
      <rPr>
        <b/>
        <i/>
        <sz val="12"/>
        <rFont val="Arial"/>
        <family val="2"/>
      </rPr>
      <t xml:space="preserve">certificate </t>
    </r>
    <r>
      <rPr>
        <i/>
        <sz val="12"/>
        <rFont val="Arial"/>
        <family val="2"/>
      </rPr>
      <t>ceases to be valid upon change of ownership.</t>
    </r>
  </si>
  <si>
    <r>
      <t xml:space="preserve">2.  After completion of this section the new owner shall return this </t>
    </r>
    <r>
      <rPr>
        <b/>
        <i/>
        <sz val="12"/>
        <rFont val="Arial"/>
        <family val="2"/>
      </rPr>
      <t>certificate</t>
    </r>
    <r>
      <rPr>
        <i/>
        <sz val="12"/>
        <rFont val="Arial"/>
        <family val="2"/>
      </rPr>
      <t xml:space="preserve"> to the </t>
    </r>
    <r>
      <rPr>
        <b/>
        <i/>
        <sz val="12"/>
        <rFont val="Arial"/>
        <family val="2"/>
      </rPr>
      <t>certification authority</t>
    </r>
  </si>
  <si>
    <r>
      <t xml:space="preserve">3.  On receipt of a </t>
    </r>
    <r>
      <rPr>
        <b/>
        <i/>
        <sz val="12"/>
        <rFont val="Arial"/>
        <family val="2"/>
      </rPr>
      <t>certificate</t>
    </r>
    <r>
      <rPr>
        <i/>
        <sz val="12"/>
        <rFont val="Arial"/>
        <family val="2"/>
      </rPr>
      <t xml:space="preserve"> correctly completed by a new owner the </t>
    </r>
    <r>
      <rPr>
        <b/>
        <i/>
        <sz val="12"/>
        <rFont val="Arial"/>
        <family val="2"/>
      </rPr>
      <t xml:space="preserve">certification authority </t>
    </r>
    <r>
      <rPr>
        <i/>
        <sz val="12"/>
        <rFont val="Arial"/>
        <family val="2"/>
      </rPr>
      <t xml:space="preserve">may issue a new </t>
    </r>
    <r>
      <rPr>
        <b/>
        <i/>
        <sz val="12"/>
        <rFont val="Arial"/>
        <family val="2"/>
      </rPr>
      <t>certificate</t>
    </r>
  </si>
  <si>
    <t>Hull</t>
  </si>
  <si>
    <t>Cube root of displacement</t>
  </si>
  <si>
    <t>Rating without penalties according to formula</t>
  </si>
  <si>
    <t>Deficit</t>
  </si>
  <si>
    <t xml:space="preserve">is  : </t>
  </si>
  <si>
    <t>1/4 width</t>
  </si>
  <si>
    <t>1/2 width</t>
  </si>
  <si>
    <t>3/4 width</t>
  </si>
  <si>
    <t>Foretriangle</t>
  </si>
  <si>
    <t>Mainsail</t>
  </si>
  <si>
    <t xml:space="preserve">Excess                   </t>
  </si>
  <si>
    <t>QBL port</t>
  </si>
  <si>
    <t>QBL starboard</t>
  </si>
  <si>
    <t xml:space="preserve">QBL mean  </t>
  </si>
  <si>
    <t>0.5 x excess</t>
  </si>
  <si>
    <t>Measured length (L) for formula</t>
  </si>
  <si>
    <t>Average freeboard</t>
  </si>
  <si>
    <t>Penalty = deficit</t>
  </si>
  <si>
    <t>Penalty  =   excess x 3</t>
  </si>
  <si>
    <t>Total penalty</t>
  </si>
  <si>
    <t>Maximum 2167</t>
  </si>
  <si>
    <t>Measured sail area</t>
  </si>
  <si>
    <t>Adding total penalty from above gives</t>
  </si>
  <si>
    <r>
      <t xml:space="preserve">Hull </t>
    </r>
    <r>
      <rPr>
        <sz val="16"/>
        <rFont val="Arial"/>
        <family val="2"/>
      </rPr>
      <t>registration number</t>
    </r>
  </si>
  <si>
    <r>
      <t xml:space="preserve">Boat's </t>
    </r>
    <r>
      <rPr>
        <sz val="16"/>
        <rFont val="Arial"/>
        <family val="2"/>
      </rPr>
      <t>name</t>
    </r>
  </si>
  <si>
    <t>Owner's name</t>
  </si>
  <si>
    <t>Design's name</t>
  </si>
  <si>
    <t>Designer's name</t>
  </si>
  <si>
    <t>New owner's name</t>
  </si>
  <si>
    <t>New owner's signature</t>
  </si>
  <si>
    <t>Mainsail - maximum values of</t>
  </si>
  <si>
    <r>
      <t xml:space="preserve">Boat </t>
    </r>
    <r>
      <rPr>
        <sz val="10"/>
        <rFont val="Arial"/>
        <family val="2"/>
      </rPr>
      <t>name</t>
    </r>
  </si>
  <si>
    <t>Maximum 1625</t>
  </si>
  <si>
    <r>
      <t>Certification Authority</t>
    </r>
    <r>
      <rPr>
        <sz val="12"/>
        <rFont val="Arial"/>
        <family val="2"/>
      </rPr>
      <t xml:space="preserve"> Stamp</t>
    </r>
  </si>
  <si>
    <t>I</t>
  </si>
  <si>
    <t>J</t>
  </si>
  <si>
    <t>Certification Authority</t>
  </si>
  <si>
    <t>New certificate issued</t>
  </si>
  <si>
    <t>Builder's name(s)</t>
  </si>
  <si>
    <t>DATA INPUT FOR INTERNATIONAL "A" CLASS MEASUREMENT</t>
  </si>
  <si>
    <t>implied waterline length</t>
  </si>
  <si>
    <t>lengths check</t>
  </si>
  <si>
    <t>qbls check</t>
  </si>
  <si>
    <r>
      <t xml:space="preserve">Maximum </t>
    </r>
    <r>
      <rPr>
        <b/>
        <sz val="10"/>
        <rFont val="Arial"/>
        <family val="2"/>
      </rPr>
      <t>headsail half width</t>
    </r>
  </si>
  <si>
    <t>Maximum QBL without penalty (100-sq.rt(.02 LWL))/100 x LWL                w</t>
  </si>
  <si>
    <t>÷ 3</t>
  </si>
  <si>
    <r>
      <t xml:space="preserve">This </t>
    </r>
    <r>
      <rPr>
        <b/>
        <i/>
        <sz val="12"/>
        <rFont val="Arial"/>
        <family val="2"/>
      </rPr>
      <t>certificate</t>
    </r>
    <r>
      <rPr>
        <i/>
        <sz val="12"/>
        <rFont val="Arial"/>
        <family val="2"/>
      </rPr>
      <t xml:space="preserve"> is not valid  until signed and stamped by the </t>
    </r>
    <r>
      <rPr>
        <b/>
        <i/>
        <sz val="12"/>
        <rFont val="Arial"/>
        <family val="2"/>
      </rPr>
      <t>certification authority</t>
    </r>
    <r>
      <rPr>
        <i/>
        <sz val="12"/>
        <rFont val="Arial"/>
        <family val="2"/>
      </rPr>
      <t>.</t>
    </r>
  </si>
  <si>
    <r>
      <t>Boat</t>
    </r>
    <r>
      <rPr>
        <sz val="10"/>
        <rFont val="Arial"/>
        <family val="2"/>
      </rPr>
      <t xml:space="preserve"> registered number</t>
    </r>
  </si>
  <si>
    <t>Weight of boat, kg</t>
  </si>
  <si>
    <t>Equipment inspection</t>
  </si>
  <si>
    <t>Headsail half width</t>
  </si>
  <si>
    <t xml:space="preserve">NB - Competitor - Race Committee </t>
  </si>
  <si>
    <r>
      <t>Date of first</t>
    </r>
    <r>
      <rPr>
        <b/>
        <sz val="16"/>
        <rFont val="Arial"/>
        <family val="2"/>
      </rPr>
      <t xml:space="preserve"> certification measurement</t>
    </r>
  </si>
  <si>
    <r>
      <t>Date of this</t>
    </r>
    <r>
      <rPr>
        <b/>
        <sz val="16"/>
        <rFont val="Arial"/>
        <family val="2"/>
      </rPr>
      <t xml:space="preserve"> certification measurement</t>
    </r>
  </si>
  <si>
    <r>
      <t xml:space="preserve">L   +  </t>
    </r>
    <r>
      <rPr>
        <sz val="10"/>
        <rFont val="Arial"/>
        <family val="2"/>
      </rPr>
      <t>√</t>
    </r>
    <r>
      <rPr>
        <sz val="12"/>
        <rFont val="Arial"/>
        <family val="2"/>
      </rPr>
      <t>S</t>
    </r>
  </si>
  <si>
    <r>
      <t xml:space="preserve">L   x  </t>
    </r>
    <r>
      <rPr>
        <sz val="10"/>
        <rFont val="Arial"/>
        <family val="2"/>
      </rPr>
      <t>√</t>
    </r>
    <r>
      <rPr>
        <sz val="12"/>
        <rFont val="Arial"/>
        <family val="2"/>
      </rPr>
      <t>S</t>
    </r>
  </si>
  <si>
    <r>
      <t xml:space="preserve">12 x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√</t>
    </r>
    <r>
      <rPr>
        <sz val="12"/>
        <rFont val="Arial"/>
        <family val="2"/>
      </rPr>
      <t>D</t>
    </r>
  </si>
  <si>
    <r>
      <t>3</t>
    </r>
    <r>
      <rPr>
        <b/>
        <sz val="11"/>
        <rFont val="Arial"/>
        <family val="2"/>
      </rPr>
      <t>√D for formula</t>
    </r>
  </si>
  <si>
    <t>DETERMINE MINIMUM B and J DIMENSIONS WITH WHICH SAILS COMPLY</t>
  </si>
  <si>
    <t>Three quarter width</t>
  </si>
  <si>
    <t>Half width</t>
  </si>
  <si>
    <t>Quarter width</t>
  </si>
  <si>
    <t>Dimension</t>
  </si>
  <si>
    <t>Description</t>
  </si>
  <si>
    <t>Diagonal (tangential) distance between contact points of bridging line on hull.</t>
  </si>
  <si>
    <t>Dimension (B) on diagram</t>
  </si>
  <si>
    <t xml:space="preserve">Horizontal distance between aft contact point of bridging line with hull and forward flotation waterline length measurement point </t>
  </si>
  <si>
    <t>Dimension (C) on diagram</t>
  </si>
  <si>
    <t>Depth below waterplane of aft contact point of bridging line on hull. Limited to MAXIMUM 20 mm.</t>
  </si>
  <si>
    <t>Dimension (D) on diagram</t>
  </si>
  <si>
    <t>Method</t>
  </si>
  <si>
    <t>Step</t>
  </si>
  <si>
    <t>Find waterplane and add flotation waterline length limit marks at measurement points</t>
  </si>
  <si>
    <t>Determine if there is any concavity in region of forward flotation waterline length limit mark</t>
  </si>
  <si>
    <t>Bridge any such concavity with a straight edge rule and mark the forward and aft contact points</t>
  </si>
  <si>
    <t>Place the boat on the measurement jig check and check that the depth of the aft contact point below the waterplane</t>
  </si>
  <si>
    <t>If the depth of the aft contact point below the waterplane is greater than 20 mm, establish a new aft contact point on the bow profile that is 20 mm below the waterplane</t>
  </si>
  <si>
    <t>Measure (using shims or dividers) and note the height above the waterplane of the forward contact point - Dimension (A)</t>
  </si>
  <si>
    <t>Measure the distance between forward and (new, if adjusted) aft contact points - Dimension (B)</t>
  </si>
  <si>
    <t>Measure and note the horizontal distance between aft contact point and the forward flotation waterline length measurement point (aft edge of limit mark) - Dimension (C)</t>
  </si>
  <si>
    <t>Measure and note the depth below the waterplane of aft contact point on hull - Limited to MAXIMUM 20 mm - Dimension (D)</t>
  </si>
  <si>
    <t>DETERMINE ANY LENGTH TO BE ADDED TO MLWL DUE TO HOLLOW IN BOW PROFILE</t>
  </si>
  <si>
    <t>H.6.1</t>
  </si>
  <si>
    <t>H.6.2</t>
  </si>
  <si>
    <r>
      <t xml:space="preserve">Maximum and minimum values of linear limitations in the </t>
    </r>
    <r>
      <rPr>
        <b/>
        <sz val="12"/>
        <rFont val="Arial"/>
        <family val="2"/>
      </rPr>
      <t>class rules</t>
    </r>
    <r>
      <rPr>
        <sz val="12"/>
        <rFont val="Arial"/>
        <family val="2"/>
      </rPr>
      <t xml:space="preserve"> or </t>
    </r>
    <r>
      <rPr>
        <b/>
        <sz val="12"/>
        <rFont val="Arial"/>
        <family val="2"/>
      </rPr>
      <t>certificate</t>
    </r>
    <r>
      <rPr>
        <sz val="12"/>
        <rFont val="Arial"/>
        <family val="2"/>
      </rPr>
      <t xml:space="preserve"> are in millimetres and shall be taken as absolute limiting values. </t>
    </r>
  </si>
  <si>
    <t>H.6.5</t>
  </si>
  <si>
    <t>relevant B exact</t>
  </si>
  <si>
    <t>relevant B rounded</t>
  </si>
  <si>
    <t>Luff perpendicular</t>
  </si>
  <si>
    <t>correctly rounded up - H.6.1</t>
  </si>
  <si>
    <t>relevant J exact</t>
  </si>
  <si>
    <t>relevant J rounded</t>
  </si>
  <si>
    <t>INPUT HULL AND RIG DATA ON THIS PAGE</t>
  </si>
  <si>
    <r>
      <t xml:space="preserve">Maximum and minimum values of linear limitations in the class rules or </t>
    </r>
    <r>
      <rPr>
        <b/>
        <i/>
        <sz val="12"/>
        <rFont val="Arial"/>
        <family val="2"/>
      </rPr>
      <t>certificate</t>
    </r>
    <r>
      <rPr>
        <i/>
        <sz val="12"/>
        <rFont val="Arial"/>
        <family val="2"/>
      </rPr>
      <t xml:space="preserve"> are in millimetres and shall be taken as absolute limiting values. </t>
    </r>
  </si>
  <si>
    <t>H.6.4</t>
  </si>
  <si>
    <t>C.10.1 (a)</t>
  </si>
  <si>
    <t>Mainsail LP</t>
  </si>
  <si>
    <t>Mainsail 3/4 width</t>
  </si>
  <si>
    <t>Mainsail 1/2 width</t>
  </si>
  <si>
    <t>Mainsail 1/4 width</t>
  </si>
  <si>
    <t>Boat weight</t>
  </si>
  <si>
    <t>Extension of any bridged hollow in bow profile</t>
  </si>
  <si>
    <t>Extension of hull parts beyond FLWL ending</t>
  </si>
  <si>
    <t>Extension of hull app. beyond FLWL ending</t>
  </si>
  <si>
    <t>MLWL, measured waterline length</t>
  </si>
  <si>
    <t>Measured waterline length, MLWL</t>
  </si>
  <si>
    <t>Flotation waterline length</t>
  </si>
  <si>
    <t>FLWL</t>
  </si>
  <si>
    <t>Measured waterline length</t>
  </si>
  <si>
    <t>MLWL</t>
  </si>
  <si>
    <t xml:space="preserve">F </t>
  </si>
  <si>
    <t>Lower limit</t>
  </si>
  <si>
    <t>Upper limit</t>
  </si>
  <si>
    <t>no upper limit</t>
  </si>
  <si>
    <t>C.10.1 (b)</t>
  </si>
  <si>
    <t>Draught - to waterplane</t>
  </si>
  <si>
    <t>Freeboard - to waterplane</t>
  </si>
  <si>
    <t>F</t>
  </si>
  <si>
    <t>R</t>
  </si>
  <si>
    <t xml:space="preserve">QBL </t>
  </si>
  <si>
    <t>Linear measurements…. shall be …. rounded up …. before ….  comparison with a limiting value.</t>
  </si>
  <si>
    <r>
      <t xml:space="preserve">This </t>
    </r>
    <r>
      <rPr>
        <b/>
        <i/>
        <sz val="12"/>
        <rFont val="Arial"/>
        <family val="2"/>
      </rPr>
      <t>certificate</t>
    </r>
    <r>
      <rPr>
        <i/>
        <sz val="12"/>
        <rFont val="Arial"/>
        <family val="2"/>
      </rPr>
      <t xml:space="preserve"> is neither complete nor valid unless accompanied by the </t>
    </r>
    <r>
      <rPr>
        <b/>
        <i/>
        <sz val="12"/>
        <rFont val="Arial"/>
        <family val="2"/>
      </rPr>
      <t>boat'</t>
    </r>
    <r>
      <rPr>
        <i/>
        <sz val="12"/>
        <rFont val="Arial"/>
        <family val="2"/>
      </rPr>
      <t>s rating calculation - certificate page 2  - issued on the same date.</t>
    </r>
  </si>
  <si>
    <r>
      <t>This</t>
    </r>
    <r>
      <rPr>
        <b/>
        <i/>
        <sz val="12"/>
        <rFont val="Arial"/>
        <family val="2"/>
      </rPr>
      <t xml:space="preserve"> certificate</t>
    </r>
    <r>
      <rPr>
        <i/>
        <sz val="12"/>
        <rFont val="Arial"/>
        <family val="2"/>
      </rPr>
      <t xml:space="preserve"> indicates that the </t>
    </r>
    <r>
      <rPr>
        <b/>
        <i/>
        <sz val="12"/>
        <rFont val="Arial"/>
        <family val="2"/>
      </rPr>
      <t>boat</t>
    </r>
    <r>
      <rPr>
        <i/>
        <sz val="12"/>
        <rFont val="Arial"/>
        <family val="2"/>
      </rPr>
      <t xml:space="preserve"> complied with  the </t>
    </r>
    <r>
      <rPr>
        <b/>
        <i/>
        <sz val="12"/>
        <rFont val="Arial"/>
        <family val="2"/>
      </rPr>
      <t>class rules</t>
    </r>
    <r>
      <rPr>
        <i/>
        <sz val="12"/>
        <rFont val="Arial"/>
        <family val="2"/>
      </rPr>
      <t xml:space="preserve"> at the time of initial</t>
    </r>
    <r>
      <rPr>
        <b/>
        <i/>
        <sz val="12"/>
        <rFont val="Arial"/>
        <family val="2"/>
      </rPr>
      <t xml:space="preserve"> certification measurement</t>
    </r>
    <r>
      <rPr>
        <i/>
        <sz val="12"/>
        <rFont val="Arial"/>
        <family val="2"/>
      </rPr>
      <t xml:space="preserve">. </t>
    </r>
  </si>
  <si>
    <r>
      <t>I undertake to race this</t>
    </r>
    <r>
      <rPr>
        <b/>
        <sz val="12"/>
        <rFont val="Arial"/>
        <family val="2"/>
      </rPr>
      <t xml:space="preserve"> boat </t>
    </r>
    <r>
      <rPr>
        <sz val="12"/>
        <rFont val="Arial"/>
        <family val="2"/>
      </rPr>
      <t xml:space="preserve">only if I maintain it in compliance with the </t>
    </r>
    <r>
      <rPr>
        <b/>
        <sz val="12"/>
        <rFont val="Arial"/>
        <family val="2"/>
      </rPr>
      <t>class rules</t>
    </r>
    <r>
      <rPr>
        <sz val="12"/>
        <rFont val="Arial"/>
        <family val="2"/>
      </rPr>
      <t xml:space="preserve"> and that alterations or repairs to equipmentrequired by the class rules to be measured will be checked by an official measurer before use.</t>
    </r>
  </si>
  <si>
    <t>DATE OF THIS CERTIFICATION MEASUREMENT</t>
  </si>
  <si>
    <t>Upper point to mast deck limit mark</t>
  </si>
  <si>
    <t>Upper limit mark to lower limit mark</t>
  </si>
  <si>
    <t>Foretriangle height LM to deck LM</t>
  </si>
  <si>
    <t>Mast deck LM to foretriangle deck LM</t>
  </si>
  <si>
    <t>Deck datum point to central mast deck LM</t>
  </si>
  <si>
    <t>test</t>
  </si>
  <si>
    <t>fred</t>
  </si>
  <si>
    <t>joe</t>
  </si>
  <si>
    <t>dave</t>
  </si>
  <si>
    <t>tester</t>
  </si>
  <si>
    <t>13th September 2011</t>
  </si>
  <si>
    <t>Flotation waterline length, FLWL</t>
  </si>
  <si>
    <t>LOA, overall length</t>
  </si>
  <si>
    <t>FOH, forward overhang</t>
  </si>
  <si>
    <t>AOH, aft overhang</t>
  </si>
  <si>
    <t>FLWL, flotation waterline length</t>
  </si>
  <si>
    <t>Quarter beam length - port</t>
  </si>
  <si>
    <t>Quarter beam length - starboard</t>
  </si>
  <si>
    <t>Draught</t>
  </si>
  <si>
    <r>
      <t xml:space="preserve">A, Mainsail </t>
    </r>
    <r>
      <rPr>
        <b/>
        <sz val="10"/>
        <rFont val="Arial"/>
        <family val="2"/>
      </rPr>
      <t>luff</t>
    </r>
  </si>
  <si>
    <r>
      <t xml:space="preserve">B, </t>
    </r>
    <r>
      <rPr>
        <b/>
        <sz val="10"/>
        <rFont val="Arial"/>
        <family val="2"/>
      </rPr>
      <t>Luff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perpendicula</t>
    </r>
    <r>
      <rPr>
        <sz val="10"/>
        <rFont val="Arial"/>
        <family val="2"/>
      </rPr>
      <t>r</t>
    </r>
  </si>
  <si>
    <r>
      <t xml:space="preserve">J, </t>
    </r>
    <r>
      <rPr>
        <b/>
        <sz val="10"/>
        <rFont val="Arial"/>
        <family val="2"/>
      </rPr>
      <t>Foretriangle base</t>
    </r>
  </si>
  <si>
    <r>
      <t xml:space="preserve">K, deck datum line to </t>
    </r>
    <r>
      <rPr>
        <b/>
        <sz val="10"/>
        <rFont val="Arial"/>
        <family val="2"/>
      </rPr>
      <t>mast</t>
    </r>
    <r>
      <rPr>
        <sz val="10"/>
        <rFont val="Arial"/>
        <family val="2"/>
      </rPr>
      <t xml:space="preserve"> leading edge</t>
    </r>
  </si>
  <si>
    <r>
      <t xml:space="preserve">Maximum mainsail </t>
    </r>
    <r>
      <rPr>
        <b/>
        <sz val="10"/>
        <rFont val="Arial"/>
        <family val="2"/>
      </rPr>
      <t>1/4 width</t>
    </r>
  </si>
  <si>
    <r>
      <t xml:space="preserve">Maximum mainsail </t>
    </r>
    <r>
      <rPr>
        <b/>
        <sz val="10"/>
        <rFont val="Arial"/>
        <family val="2"/>
      </rPr>
      <t>1/2 width</t>
    </r>
  </si>
  <si>
    <r>
      <t xml:space="preserve">Maximum mainsail </t>
    </r>
    <r>
      <rPr>
        <b/>
        <sz val="10"/>
        <rFont val="Arial"/>
        <family val="2"/>
      </rPr>
      <t>3/4 width</t>
    </r>
  </si>
  <si>
    <t>units check</t>
  </si>
  <si>
    <t>Headsail - maximum value of half width</t>
  </si>
  <si>
    <t>Sail Plan - Measurements</t>
  </si>
  <si>
    <t>Sail Plan - Calculated values</t>
  </si>
  <si>
    <t>Draught - to plane through FLWL limit marks</t>
  </si>
  <si>
    <t>Freeboard - to plane through FLWL limit marks</t>
  </si>
  <si>
    <t>Rating - from new found measurements</t>
  </si>
  <si>
    <t xml:space="preserve">Certificated </t>
  </si>
  <si>
    <t>Issued by (Name)</t>
  </si>
  <si>
    <r>
      <t xml:space="preserve">YES       </t>
    </r>
    <r>
      <rPr>
        <b/>
        <sz val="16"/>
        <rFont val="Wingdings"/>
        <charset val="2"/>
      </rPr>
      <t>q</t>
    </r>
  </si>
  <si>
    <r>
      <t xml:space="preserve">NO       </t>
    </r>
    <r>
      <rPr>
        <b/>
        <sz val="16"/>
        <rFont val="Wingdings"/>
        <charset val="2"/>
      </rPr>
      <t>q</t>
    </r>
  </si>
  <si>
    <t>Exact' length added to flotation water line length due to bridging a hollow in the bow profile to give measured waterline length.</t>
  </si>
  <si>
    <t>Rounded length added to flotation water line length due to bridging a hollow in the bow profile to give measured waterline length.</t>
  </si>
  <si>
    <t xml:space="preserve">   K </t>
  </si>
  <si>
    <t>Maximum K</t>
  </si>
  <si>
    <t>√S  for formula            √</t>
  </si>
  <si>
    <t>Central deck mast LM to fore &amp; aft mast deck LMs</t>
  </si>
  <si>
    <r>
      <t xml:space="preserve">     </t>
    </r>
    <r>
      <rPr>
        <b/>
        <sz val="11"/>
        <rFont val="Arial"/>
        <family val="2"/>
      </rPr>
      <t xml:space="preserve"> J</t>
    </r>
  </si>
  <si>
    <t>Fig 1</t>
  </si>
  <si>
    <t>Line A</t>
  </si>
  <si>
    <t>Line B</t>
  </si>
  <si>
    <t>Line C</t>
  </si>
  <si>
    <t>Line D</t>
  </si>
  <si>
    <t>Line E</t>
  </si>
  <si>
    <t>Dimension (A) on diagram</t>
  </si>
  <si>
    <t xml:space="preserve">Height above waterplane of forward contact point of bridging line on hull. </t>
  </si>
  <si>
    <t>Measures with shim or dividers</t>
  </si>
  <si>
    <t>Measure with rule</t>
  </si>
  <si>
    <t>Measure with rule on dry jig</t>
  </si>
  <si>
    <t>Measure with jig on dry jig</t>
  </si>
  <si>
    <t>Illustration of 20 mm below water plane</t>
  </si>
  <si>
    <t>Fig 2</t>
  </si>
  <si>
    <t>Water plane</t>
  </si>
  <si>
    <t>Fig 3</t>
  </si>
  <si>
    <t>Line F</t>
  </si>
  <si>
    <t>Calculated distance added to flotation water line length</t>
  </si>
  <si>
    <t>Fig 4</t>
  </si>
  <si>
    <t>NO MEASUREMENT REQUIRED</t>
  </si>
  <si>
    <t>NO CALCULATION REQUIRED</t>
  </si>
  <si>
    <t>Figures</t>
  </si>
  <si>
    <t>These calculations and figures are courtesy of John Smith, Gosport MYBC</t>
  </si>
  <si>
    <t xml:space="preserve">M </t>
  </si>
  <si>
    <r>
      <t xml:space="preserve">M, </t>
    </r>
    <r>
      <rPr>
        <b/>
        <sz val="10"/>
        <rFont val="Arial"/>
        <family val="2"/>
      </rPr>
      <t xml:space="preserve">hull </t>
    </r>
    <r>
      <rPr>
        <sz val="10"/>
        <rFont val="Arial"/>
        <family val="2"/>
      </rPr>
      <t xml:space="preserve">datum point to FLWL </t>
    </r>
    <r>
      <rPr>
        <b/>
        <sz val="10"/>
        <rFont val="Arial"/>
        <family val="2"/>
      </rPr>
      <t>limit mark</t>
    </r>
  </si>
  <si>
    <t>IRSA - WORLD RADIO SAILING</t>
  </si>
  <si>
    <t>RATING CALCULATION FOR INTERNATIONAL "A" CLASS REG. No.</t>
  </si>
  <si>
    <t>(this is not a certificate)</t>
  </si>
  <si>
    <t>The considerable input into these calculations and figures by Henry Farley of Lee Valley MYC is gratefully acknowledged.</t>
  </si>
  <si>
    <t>Freeboards</t>
  </si>
  <si>
    <r>
      <t xml:space="preserve">H, Height of </t>
    </r>
    <r>
      <rPr>
        <b/>
        <sz val="10"/>
        <rFont val="Arial"/>
        <family val="2"/>
      </rPr>
      <t>rig</t>
    </r>
    <r>
      <rPr>
        <sz val="10"/>
        <rFont val="Arial"/>
        <family val="2"/>
      </rPr>
      <t xml:space="preserve"> (maximum 2167)</t>
    </r>
  </si>
  <si>
    <r>
      <t xml:space="preserve">I, </t>
    </r>
    <r>
      <rPr>
        <b/>
        <sz val="10"/>
        <rFont val="Arial"/>
        <family val="2"/>
      </rPr>
      <t>Foretriangle height</t>
    </r>
    <r>
      <rPr>
        <sz val="10"/>
        <rFont val="Arial"/>
        <family val="2"/>
      </rPr>
      <t xml:space="preserve"> (maximum 1625)</t>
    </r>
  </si>
  <si>
    <t>This page is not part of the certificate.</t>
  </si>
  <si>
    <t>Calculated 
values
as advice
 to measurer/sail maker</t>
  </si>
  <si>
    <t>official validity check</t>
  </si>
  <si>
    <t>excess added to fraction of B</t>
  </si>
  <si>
    <t>difference = fraction of B</t>
  </si>
  <si>
    <t>data entry</t>
  </si>
  <si>
    <t>NOTE: THIS FORM IS NOT PART OF THE CERTIFICATE</t>
  </si>
  <si>
    <t xml:space="preserve">Minimum K </t>
  </si>
  <si>
    <t>K, deck datum point to central mast limit mark</t>
  </si>
  <si>
    <t>Maximum J</t>
  </si>
  <si>
    <r>
      <t>Weight of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boat in measurement trim (kg)</t>
    </r>
  </si>
  <si>
    <r>
      <t xml:space="preserve">Maximum 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√D used for rating</t>
    </r>
  </si>
  <si>
    <r>
      <t xml:space="preserve">Minimum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√D without penalty</t>
    </r>
  </si>
  <si>
    <r>
      <t xml:space="preserve">Actual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√D </t>
    </r>
  </si>
  <si>
    <r>
      <t xml:space="preserve">If difference &gt; 0, 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√D = (actual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√D - difference)</t>
    </r>
  </si>
  <si>
    <r>
      <t xml:space="preserve">Minimum freeboard without penalty ((0.28 x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√D)+23)</t>
    </r>
  </si>
  <si>
    <t>Hull datum point to FLWL LM</t>
  </si>
  <si>
    <t xml:space="preserve">                                                                                                                                    Dimension A</t>
  </si>
  <si>
    <t xml:space="preserve">                                                      Dimension C</t>
  </si>
  <si>
    <t xml:space="preserve">                                 Dimension D</t>
  </si>
  <si>
    <t xml:space="preserve">                                    Dimension D</t>
  </si>
  <si>
    <t xml:space="preserve">                                                              Dimension C</t>
  </si>
  <si>
    <t xml:space="preserve">                                                                             Add to FLWL</t>
  </si>
  <si>
    <t xml:space="preserve">                                                                                         Add to FLWL</t>
  </si>
  <si>
    <t xml:space="preserve">                                              Dimension C                                                                    Dimension A</t>
  </si>
  <si>
    <t xml:space="preserve">                                                                                      Add to FLWL</t>
  </si>
  <si>
    <t xml:space="preserve">                                              Dimension D                                        Dimension B                                               20</t>
  </si>
  <si>
    <t xml:space="preserve">                                                                                         Dimension B                                                                 20</t>
  </si>
  <si>
    <t xml:space="preserve">                                                                                      Dimension B                                                                   20</t>
  </si>
  <si>
    <t xml:space="preserve">                                                                                    No hollow in profile within 20 mm of waterplane</t>
  </si>
  <si>
    <t>Bow convavity bridged by line B - tangential contact with underside of hull is over 20 mm below waterplane - repositioned bridging line creates no hollw in profile</t>
  </si>
  <si>
    <t>Bow convavity bridged by line B - tangential contact with underside of hull is over 20 mm below waterplane - bridging line adjusted to point of contact 20 mm below water plane</t>
  </si>
  <si>
    <t>Bow concavity bridged by line B - tangential contact with underside of hull is 20 mm below waterplane</t>
  </si>
  <si>
    <t>Bow concavity bridged by line B - tangential contact with underside of hull is less than 20 mm below waterplane</t>
  </si>
  <si>
    <r>
      <t xml:space="preserve">For </t>
    </r>
    <r>
      <rPr>
        <b/>
        <i/>
        <sz val="12"/>
        <rFont val="Arial"/>
        <family val="2"/>
      </rPr>
      <t>certification control</t>
    </r>
    <r>
      <rPr>
        <i/>
        <sz val="12"/>
        <rFont val="Arial"/>
        <family val="2"/>
      </rPr>
      <t xml:space="preserve"> the boat weight shall be taken in kilograms using calibrated equipment and rounded to the nearest 0.1 kg before recording on the</t>
    </r>
    <r>
      <rPr>
        <b/>
        <i/>
        <sz val="12"/>
        <rFont val="Arial"/>
        <family val="2"/>
      </rPr>
      <t xml:space="preserve"> certificate</t>
    </r>
    <r>
      <rPr>
        <i/>
        <sz val="12"/>
        <rFont val="Arial"/>
        <family val="2"/>
      </rPr>
      <t xml:space="preserve"> and use in subsequent calculations.</t>
    </r>
  </si>
  <si>
    <r>
      <t>Linear measurements of the following: .......</t>
    </r>
    <r>
      <rPr>
        <b/>
        <sz val="12"/>
        <rFont val="Arial"/>
        <family val="2"/>
      </rPr>
      <t xml:space="preserve"> rig</t>
    </r>
    <r>
      <rPr>
        <sz val="12"/>
        <rFont val="Arial"/>
        <family val="2"/>
      </rPr>
      <t xml:space="preserve"> dimensions, </t>
    </r>
    <r>
      <rPr>
        <b/>
        <sz val="12"/>
        <rFont val="Arial"/>
        <family val="2"/>
      </rPr>
      <t>sail</t>
    </r>
    <r>
      <rPr>
        <sz val="12"/>
        <rFont val="Arial"/>
        <family val="2"/>
      </rPr>
      <t xml:space="preserve"> dimensions, shall be taken in millimetres and rounded up to the nearest whole number before being recorded on the </t>
    </r>
    <r>
      <rPr>
        <b/>
        <sz val="12"/>
        <rFont val="Arial"/>
        <family val="2"/>
      </rPr>
      <t>certificate</t>
    </r>
    <r>
      <rPr>
        <sz val="12"/>
        <rFont val="Arial"/>
        <family val="2"/>
      </rPr>
      <t>, used in subsequent calculations or compared with a limiting value.</t>
    </r>
  </si>
  <si>
    <r>
      <t xml:space="preserve">Linear measurements of the following: draught, freeboard, flotation waterline length, measured waterline length, quarter beam length, </t>
    </r>
    <r>
      <rPr>
        <b/>
        <i/>
        <sz val="12"/>
        <rFont val="Arial"/>
        <family val="2"/>
      </rPr>
      <t xml:space="preserve">rig </t>
    </r>
    <r>
      <rPr>
        <i/>
        <sz val="12"/>
        <rFont val="Arial"/>
        <family val="2"/>
      </rPr>
      <t>dimensions,</t>
    </r>
    <r>
      <rPr>
        <b/>
        <i/>
        <sz val="12"/>
        <rFont val="Arial"/>
        <family val="2"/>
      </rPr>
      <t xml:space="preserve"> sail</t>
    </r>
    <r>
      <rPr>
        <i/>
        <sz val="12"/>
        <rFont val="Arial"/>
        <family val="2"/>
      </rPr>
      <t xml:space="preserve"> dimensions, shall be taken in millimetres and rounded up to the nearest whole number before being recorded on the </t>
    </r>
    <r>
      <rPr>
        <b/>
        <i/>
        <sz val="12"/>
        <rFont val="Arial"/>
        <family val="2"/>
      </rPr>
      <t>certificate</t>
    </r>
    <r>
      <rPr>
        <i/>
        <sz val="12"/>
        <rFont val="Arial"/>
        <family val="2"/>
      </rPr>
      <t xml:space="preserve">, used in subsequent calculations or compared with a limiting value.
</t>
    </r>
  </si>
  <si>
    <r>
      <t xml:space="preserve">Calculated values shall be rounded to the nearest whole number before recording on a measurement form or </t>
    </r>
    <r>
      <rPr>
        <b/>
        <i/>
        <sz val="12"/>
        <rFont val="Arial"/>
        <family val="2"/>
      </rPr>
      <t>certificate</t>
    </r>
    <r>
      <rPr>
        <i/>
        <sz val="12"/>
        <rFont val="Arial"/>
        <family val="2"/>
      </rPr>
      <t xml:space="preserve">, use in any subsequent calculations or comparison with any limitation in the </t>
    </r>
    <r>
      <rPr>
        <b/>
        <i/>
        <sz val="12"/>
        <rFont val="Arial"/>
        <family val="2"/>
      </rPr>
      <t>class rules</t>
    </r>
    <r>
      <rPr>
        <i/>
        <sz val="12"/>
        <rFont val="Arial"/>
        <family val="2"/>
      </rPr>
      <t xml:space="preserve"> or </t>
    </r>
    <r>
      <rPr>
        <b/>
        <i/>
        <sz val="12"/>
        <rFont val="Arial"/>
        <family val="2"/>
      </rPr>
      <t>certificate</t>
    </r>
    <r>
      <rPr>
        <i/>
        <sz val="12"/>
        <rFont val="Arial"/>
        <family val="2"/>
      </rPr>
      <t>.</t>
    </r>
  </si>
  <si>
    <r>
      <t xml:space="preserve">For </t>
    </r>
    <r>
      <rPr>
        <b/>
        <sz val="12"/>
        <rFont val="Arial"/>
        <family val="2"/>
      </rPr>
      <t xml:space="preserve">equipment inspection </t>
    </r>
    <r>
      <rPr>
        <sz val="12"/>
        <rFont val="Arial"/>
        <family val="2"/>
      </rPr>
      <t xml:space="preserve">or measurement at an event the boat weight shall be taken in kilograms using calibrated equipment and rounded to the nearest 0.02 kg before comparison with the limitations on the </t>
    </r>
    <r>
      <rPr>
        <b/>
        <sz val="12"/>
        <rFont val="Arial"/>
        <family val="2"/>
      </rPr>
      <t>certificate</t>
    </r>
    <r>
      <rPr>
        <sz val="12"/>
        <rFont val="Arial"/>
        <family val="2"/>
      </rPr>
      <t>.</t>
    </r>
  </si>
  <si>
    <r>
      <t>When</t>
    </r>
    <r>
      <rPr>
        <b/>
        <sz val="12"/>
        <rFont val="Arial"/>
        <family val="2"/>
      </rPr>
      <t xml:space="preserve"> equipment inspection</t>
    </r>
    <r>
      <rPr>
        <sz val="12"/>
        <rFont val="Arial"/>
        <family val="2"/>
      </rPr>
      <t xml:space="preserve"> or measurement at an event is carried out at an event without access to full </t>
    </r>
    <r>
      <rPr>
        <b/>
        <sz val="12"/>
        <rFont val="Arial"/>
        <family val="2"/>
      </rPr>
      <t>certification measurement</t>
    </r>
    <r>
      <rPr>
        <sz val="12"/>
        <rFont val="Arial"/>
        <family val="2"/>
      </rPr>
      <t xml:space="preserve"> equipment, the </t>
    </r>
    <r>
      <rPr>
        <b/>
        <sz val="12"/>
        <rFont val="Arial"/>
        <family val="2"/>
      </rPr>
      <t>boat</t>
    </r>
    <r>
      <rPr>
        <sz val="12"/>
        <rFont val="Arial"/>
        <family val="2"/>
      </rPr>
      <t xml:space="preserve"> shall comply with the</t>
    </r>
    <r>
      <rPr>
        <b/>
        <sz val="12"/>
        <rFont val="Arial"/>
        <family val="2"/>
      </rPr>
      <t xml:space="preserve"> class rules</t>
    </r>
    <r>
      <rPr>
        <sz val="12"/>
        <rFont val="Arial"/>
        <family val="2"/>
      </rPr>
      <t xml:space="preserve"> and </t>
    </r>
    <r>
      <rPr>
        <b/>
        <sz val="12"/>
        <rFont val="Arial"/>
        <family val="2"/>
      </rPr>
      <t>certificate</t>
    </r>
    <r>
      <rPr>
        <sz val="12"/>
        <rFont val="Arial"/>
        <family val="2"/>
      </rPr>
      <t xml:space="preserve"> within (these) tolerances:</t>
    </r>
  </si>
  <si>
    <r>
      <t xml:space="preserve">When </t>
    </r>
    <r>
      <rPr>
        <b/>
        <sz val="12"/>
        <rFont val="Arial"/>
        <family val="2"/>
      </rPr>
      <t>equipment inspection</t>
    </r>
    <r>
      <rPr>
        <sz val="12"/>
        <rFont val="Arial"/>
        <family val="2"/>
      </rPr>
      <t xml:space="preserve"> or measurement at an event is carried out at an event with full </t>
    </r>
    <r>
      <rPr>
        <b/>
        <sz val="12"/>
        <rFont val="Arial"/>
        <family val="2"/>
      </rPr>
      <t>certification measurement</t>
    </r>
    <r>
      <rPr>
        <sz val="12"/>
        <rFont val="Arial"/>
        <family val="2"/>
      </rPr>
      <t xml:space="preserve"> equipment, the </t>
    </r>
    <r>
      <rPr>
        <b/>
        <sz val="12"/>
        <rFont val="Arial"/>
        <family val="2"/>
      </rPr>
      <t>boat</t>
    </r>
    <r>
      <rPr>
        <sz val="12"/>
        <rFont val="Arial"/>
        <family val="2"/>
      </rPr>
      <t xml:space="preserve"> ….. shall comply …..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within the tolerances in C.4.1, C.10.1 (a) and (these) tolerances.</t>
    </r>
  </si>
  <si>
    <t>MAINSAIL</t>
  </si>
  <si>
    <r>
      <t xml:space="preserve"> for sails </t>
    </r>
    <r>
      <rPr>
        <b/>
        <sz val="14"/>
        <rFont val="Arial"/>
        <family val="2"/>
      </rPr>
      <t>certified</t>
    </r>
    <r>
      <rPr>
        <sz val="14"/>
        <rFont val="Arial"/>
        <family val="2"/>
      </rPr>
      <t xml:space="preserve"> 1st July 2016 onwards</t>
    </r>
  </si>
  <si>
    <r>
      <t xml:space="preserve">for sails </t>
    </r>
    <r>
      <rPr>
        <b/>
        <sz val="14"/>
        <rFont val="Arial"/>
        <family val="2"/>
      </rPr>
      <t>certified</t>
    </r>
    <r>
      <rPr>
        <sz val="14"/>
        <rFont val="Arial"/>
        <family val="2"/>
      </rPr>
      <t xml:space="preserve"> before 1st July 2016 </t>
    </r>
  </si>
  <si>
    <t>HEADSAIL</t>
  </si>
  <si>
    <t>measured value</t>
  </si>
  <si>
    <t>difference = fraction of J</t>
  </si>
  <si>
    <t>Minimum B dimension with which mainsail complies</t>
  </si>
  <si>
    <t>Minimum J dimension with which headsail complies</t>
  </si>
  <si>
    <r>
      <t xml:space="preserve">Calculated values shall be rounded to the nearest whole number before being recorded on a measurement form or </t>
    </r>
    <r>
      <rPr>
        <b/>
        <sz val="12"/>
        <rFont val="Arial"/>
        <family val="2"/>
      </rPr>
      <t>certificate</t>
    </r>
    <r>
      <rPr>
        <sz val="12"/>
        <rFont val="Arial"/>
        <family val="2"/>
      </rPr>
      <t xml:space="preserve">, used in any subsequent calculations or compared with any limitation in the </t>
    </r>
    <r>
      <rPr>
        <b/>
        <sz val="12"/>
        <rFont val="Arial"/>
        <family val="2"/>
      </rPr>
      <t>class rules</t>
    </r>
    <r>
      <rPr>
        <sz val="12"/>
        <rFont val="Arial"/>
        <family val="2"/>
      </rPr>
      <t xml:space="preserve"> or </t>
    </r>
    <r>
      <rPr>
        <b/>
        <sz val="12"/>
        <rFont val="Arial"/>
        <family val="2"/>
      </rPr>
      <t>certificate</t>
    </r>
    <r>
      <rPr>
        <sz val="12"/>
        <rFont val="Arial"/>
        <family val="2"/>
      </rPr>
      <t>.</t>
    </r>
  </si>
  <si>
    <t xml:space="preserve">Fore      </t>
  </si>
  <si>
    <t xml:space="preserve">Mid       </t>
  </si>
  <si>
    <t xml:space="preserve">Aft       </t>
  </si>
  <si>
    <r>
      <rPr>
        <b/>
        <sz val="10"/>
        <rFont val="Arial"/>
        <family val="2"/>
      </rPr>
      <t xml:space="preserve">H </t>
    </r>
    <r>
      <rPr>
        <sz val="9"/>
        <rFont val="Wingdings 3"/>
        <family val="1"/>
        <charset val="2"/>
      </rPr>
      <t xml:space="preserve"> </t>
    </r>
  </si>
  <si>
    <r>
      <rPr>
        <b/>
        <sz val="10"/>
        <rFont val="Arial"/>
        <family val="2"/>
      </rPr>
      <t xml:space="preserve">A </t>
    </r>
    <r>
      <rPr>
        <sz val="9"/>
        <rFont val="Wingdings 3"/>
        <family val="1"/>
        <charset val="2"/>
      </rPr>
      <t xml:space="preserve"> </t>
    </r>
  </si>
  <si>
    <r>
      <t xml:space="preserve">B </t>
    </r>
    <r>
      <rPr>
        <sz val="9"/>
        <rFont val="Wingdings 3"/>
        <family val="1"/>
        <charset val="2"/>
      </rPr>
      <t xml:space="preserve"> </t>
    </r>
  </si>
  <si>
    <t>FS calculations</t>
  </si>
  <si>
    <t>GENOA</t>
  </si>
  <si>
    <t>Foot length</t>
  </si>
  <si>
    <t>Foot</t>
  </si>
  <si>
    <t>excess added to 2 x J</t>
  </si>
  <si>
    <t>difference = 2 x J</t>
  </si>
  <si>
    <t>Minimum J dimension with which genoa complies</t>
  </si>
  <si>
    <t xml:space="preserve">Half width </t>
  </si>
  <si>
    <t>excess added to J</t>
  </si>
  <si>
    <t>difference =  J</t>
  </si>
  <si>
    <t>Minimum J dimension with which spinnaker complies</t>
  </si>
  <si>
    <r>
      <t xml:space="preserve">Date of this </t>
    </r>
    <r>
      <rPr>
        <b/>
        <sz val="10"/>
        <rFont val="Arial"/>
        <family val="2"/>
      </rPr>
      <t>certification control</t>
    </r>
  </si>
  <si>
    <r>
      <t xml:space="preserve">Date of first </t>
    </r>
    <r>
      <rPr>
        <b/>
        <sz val="10"/>
        <rFont val="Arial"/>
        <family val="2"/>
      </rPr>
      <t>certification control</t>
    </r>
  </si>
  <si>
    <t>enter rc or fs</t>
  </si>
  <si>
    <r>
      <rPr>
        <b/>
        <sz val="10"/>
        <rFont val="Arial"/>
        <family val="2"/>
      </rPr>
      <t>RC</t>
    </r>
    <r>
      <rPr>
        <sz val="10"/>
        <rFont val="Arial"/>
        <family val="2"/>
      </rPr>
      <t xml:space="preserve"> or </t>
    </r>
    <r>
      <rPr>
        <b/>
        <sz val="10"/>
        <rFont val="Arial"/>
        <family val="2"/>
      </rPr>
      <t>free sailing</t>
    </r>
    <r>
      <rPr>
        <sz val="10"/>
        <rFont val="Arial"/>
        <family val="2"/>
      </rPr>
      <t xml:space="preserve">? Enter </t>
    </r>
    <r>
      <rPr>
        <b/>
        <sz val="10"/>
        <rFont val="Arial"/>
        <family val="2"/>
      </rPr>
      <t>FS</t>
    </r>
    <r>
      <rPr>
        <sz val="10"/>
        <rFont val="Arial"/>
        <family val="2"/>
      </rPr>
      <t xml:space="preserve"> if freesailing</t>
    </r>
  </si>
  <si>
    <t>SAIL 1</t>
  </si>
  <si>
    <t>SAIL 2</t>
  </si>
  <si>
    <t>SAIL 3</t>
  </si>
  <si>
    <r>
      <t xml:space="preserve">SPINNAKER - </t>
    </r>
    <r>
      <rPr>
        <b/>
        <sz val="16"/>
        <color indexed="10"/>
        <rFont val="Arial"/>
        <family val="2"/>
      </rPr>
      <t>Minimum</t>
    </r>
    <r>
      <rPr>
        <sz val="16"/>
        <rFont val="Arial"/>
        <family val="2"/>
      </rPr>
      <t xml:space="preserve"> J Value</t>
    </r>
  </si>
  <si>
    <r>
      <t xml:space="preserve">SPINNAKER - </t>
    </r>
    <r>
      <rPr>
        <b/>
        <sz val="16"/>
        <color indexed="10"/>
        <rFont val="Arial"/>
        <family val="2"/>
      </rPr>
      <t>Maximum</t>
    </r>
    <r>
      <rPr>
        <sz val="16"/>
        <rFont val="Arial"/>
        <family val="2"/>
      </rPr>
      <t xml:space="preserve"> J Value</t>
    </r>
  </si>
  <si>
    <t>The following section is for free sailing A Class only</t>
  </si>
  <si>
    <t>largest of these for SAIL 1</t>
  </si>
  <si>
    <t>largest of these for SAIL 2</t>
  </si>
  <si>
    <t>largest of these for SAIL 3</t>
  </si>
  <si>
    <t>for SAIL 1</t>
  </si>
  <si>
    <t>for SAIL 2</t>
  </si>
  <si>
    <t>for SAIL 3</t>
  </si>
  <si>
    <r>
      <rPr>
        <b/>
        <sz val="12"/>
        <color indexed="10"/>
        <rFont val="Arial"/>
        <family val="2"/>
      </rPr>
      <t>MAXIMUM</t>
    </r>
    <r>
      <rPr>
        <sz val="12"/>
        <rFont val="Arial"/>
        <family val="2"/>
      </rPr>
      <t xml:space="preserve"> J dimension with which spinnaker complies</t>
    </r>
  </si>
  <si>
    <t>sqrt S max</t>
  </si>
  <si>
    <t>S</t>
  </si>
  <si>
    <t>therefore max foot</t>
  </si>
  <si>
    <t>therefore max luff</t>
  </si>
  <si>
    <t>max headsail area for same main</t>
  </si>
  <si>
    <t>max mainsail area for same headsail</t>
  </si>
  <si>
    <t>l for formula/4</t>
  </si>
  <si>
    <t>maximum rating less l for formula/4</t>
  </si>
  <si>
    <t>1/4 + l for formula/(12 * cbrt D)</t>
  </si>
  <si>
    <t>Cert #</t>
  </si>
  <si>
    <t>Max #</t>
  </si>
  <si>
    <t>suggested</t>
  </si>
  <si>
    <t>maximum</t>
  </si>
  <si>
    <t>possible values</t>
  </si>
  <si>
    <t>Rating</t>
  </si>
  <si>
    <t>The valued assistance of Andrew Crocker of Kogarah Bay Sailing Club, Australia, is gratefully acknowledged.</t>
  </si>
  <si>
    <t>fs</t>
  </si>
  <si>
    <t xml:space="preserve">IRSA "A" CLASS MEASUREMENT FORM - hollow bridging calculations </t>
  </si>
  <si>
    <t>© 2018, IRSA</t>
  </si>
  <si>
    <t>Effective 1st April 2018</t>
  </si>
  <si>
    <t xml:space="preserve">IRSA "A" CLASS MEASUREMENT FORM - minimum B &amp; J dimensions </t>
  </si>
  <si>
    <t>IRSA A CLASS MEASUREMENT FORM - DATA INPUT</t>
  </si>
  <si>
    <t>IRSA "A" CLASS CERTIFICATE PAGE 1/2</t>
  </si>
  <si>
    <r>
      <t xml:space="preserve">NOTE: IRSA "A" CLASS RATING CALCULATION - CERTIFICATE PAGE 2/2 IS AN INTEGRAL PART OF THE </t>
    </r>
    <r>
      <rPr>
        <b/>
        <sz val="15"/>
        <rFont val="Arial"/>
        <family val="2"/>
      </rPr>
      <t>CERTIFICATE</t>
    </r>
  </si>
  <si>
    <t>IRSA "A" CLASS RATING CALCULATION - CERTIFICATE PAGE 2/2</t>
  </si>
  <si>
    <t>NOTE: THIS RATING CALCULATION FORM IS AN INTEGRAL PART OF AN IRSA "A" CLASS CERTIFICATE - CERTIFICATE IS INCOMPLETE WITHOUT THIS RATING FORM</t>
  </si>
  <si>
    <t>FS: Free Sailing   RC: Radio Control</t>
  </si>
  <si>
    <t>FS and RC release version 1</t>
  </si>
  <si>
    <t>1st April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</si>
</sst>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201" formatCode="0.000"/>
    <numFmt numFmtId="202" formatCode="0.0"/>
    <numFmt numFmtId="203" formatCode="0.0000"/>
    <numFmt numFmtId="204" formatCode="mmmm\ d\,\ yyyy"/>
    <numFmt numFmtId="212" formatCode="dd/mm/yy;@"/>
    <numFmt numFmtId="213" formatCode=";;;"/>
    <numFmt numFmtId="218" formatCode="0.00000000"/>
    <numFmt numFmtId="220" formatCode="0.000000"/>
    <numFmt numFmtId="222" formatCode="[$-F800]dddd\,\ mmmm\ dd\,\ yyyy"/>
  </numFmts>
  <fonts count="80">
    <font>
      <sz val="12"/>
      <name val="Times New Roman"/>
    </font>
    <font>
      <sz val="10"/>
      <name val="Wingdings 3"/>
      <family val="1"/>
      <charset val="2"/>
    </font>
    <font>
      <sz val="10"/>
      <name val="Arial"/>
      <family val="2"/>
    </font>
    <font>
      <sz val="10"/>
      <name val="Symbol"/>
      <family val="1"/>
      <charset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i/>
      <sz val="10"/>
      <color indexed="10"/>
      <name val="Arial"/>
      <family val="2"/>
    </font>
    <font>
      <b/>
      <sz val="18"/>
      <name val="Arial"/>
      <family val="2"/>
    </font>
    <font>
      <b/>
      <sz val="3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vertAlign val="superscript"/>
      <sz val="11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9"/>
      <name val="Wingdings 3"/>
      <family val="1"/>
      <charset val="2"/>
    </font>
    <font>
      <b/>
      <sz val="16"/>
      <color indexed="48"/>
      <name val="Arial"/>
      <family val="2"/>
    </font>
    <font>
      <b/>
      <sz val="9"/>
      <name val="Arial"/>
      <family val="2"/>
    </font>
    <font>
      <b/>
      <i/>
      <sz val="9"/>
      <color indexed="10"/>
      <name val="Arial"/>
      <family val="2"/>
    </font>
    <font>
      <b/>
      <sz val="9"/>
      <color indexed="12"/>
      <name val="Arial"/>
      <family val="2"/>
    </font>
    <font>
      <sz val="9"/>
      <color indexed="10"/>
      <name val="Arial"/>
      <family val="2"/>
    </font>
    <font>
      <sz val="15"/>
      <name val="Arial"/>
      <family val="2"/>
    </font>
    <font>
      <sz val="18"/>
      <name val="Arial"/>
      <family val="2"/>
    </font>
    <font>
      <i/>
      <sz val="14"/>
      <name val="Arial"/>
      <family val="2"/>
    </font>
    <font>
      <b/>
      <sz val="15"/>
      <name val="Arial"/>
      <family val="2"/>
    </font>
    <font>
      <sz val="8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20"/>
      <color indexed="12"/>
      <name val="Arial"/>
      <family val="2"/>
    </font>
    <font>
      <b/>
      <sz val="8"/>
      <name val="Arial"/>
      <family val="2"/>
    </font>
    <font>
      <i/>
      <sz val="18"/>
      <name val="Arial"/>
      <family val="2"/>
    </font>
    <font>
      <i/>
      <sz val="16"/>
      <name val="Arial"/>
      <family val="2"/>
    </font>
    <font>
      <b/>
      <i/>
      <sz val="14"/>
      <name val="Arial"/>
      <family val="2"/>
    </font>
    <font>
      <b/>
      <sz val="20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b/>
      <i/>
      <sz val="8.5"/>
      <color indexed="12"/>
      <name val="Arial"/>
      <family val="2"/>
    </font>
    <font>
      <sz val="8"/>
      <name val="Times New Roman"/>
      <family val="1"/>
    </font>
    <font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0"/>
      <color indexed="12"/>
      <name val="Arial"/>
      <family val="2"/>
    </font>
    <font>
      <b/>
      <sz val="11"/>
      <color indexed="10"/>
      <name val="Arial"/>
      <family val="2"/>
    </font>
    <font>
      <i/>
      <sz val="11"/>
      <color indexed="8"/>
      <name val="Arial"/>
      <family val="2"/>
    </font>
    <font>
      <sz val="12"/>
      <name val="Times New Roman"/>
      <family val="1"/>
    </font>
    <font>
      <i/>
      <sz val="12"/>
      <color indexed="12"/>
      <name val="Arial"/>
      <family val="2"/>
    </font>
    <font>
      <i/>
      <sz val="11"/>
      <color indexed="12"/>
      <name val="Arial"/>
      <family val="2"/>
    </font>
    <font>
      <b/>
      <sz val="12"/>
      <name val="Times New Roman"/>
      <family val="1"/>
    </font>
    <font>
      <b/>
      <i/>
      <sz val="10"/>
      <name val="Arial"/>
      <family val="2"/>
    </font>
    <font>
      <b/>
      <sz val="14"/>
      <name val="Times New Roman"/>
      <family val="1"/>
    </font>
    <font>
      <b/>
      <sz val="16"/>
      <name val="Wingdings"/>
      <charset val="2"/>
    </font>
    <font>
      <b/>
      <i/>
      <sz val="11"/>
      <color indexed="8"/>
      <name val="Arial"/>
      <family val="2"/>
    </font>
    <font>
      <i/>
      <sz val="10"/>
      <color indexed="30"/>
      <name val="Arial"/>
      <family val="2"/>
    </font>
    <font>
      <b/>
      <i/>
      <sz val="9"/>
      <color indexed="53"/>
      <name val="Arial"/>
      <family val="2"/>
    </font>
    <font>
      <b/>
      <sz val="24"/>
      <name val="Arial"/>
      <family val="2"/>
    </font>
    <font>
      <sz val="26"/>
      <name val="Arial"/>
      <family val="2"/>
    </font>
    <font>
      <b/>
      <sz val="45"/>
      <name val="Arial"/>
      <family val="2"/>
    </font>
    <font>
      <i/>
      <sz val="20"/>
      <name val="Arial"/>
      <family val="2"/>
    </font>
    <font>
      <b/>
      <sz val="27"/>
      <name val="Arial"/>
      <family val="2"/>
    </font>
    <font>
      <b/>
      <i/>
      <sz val="24"/>
      <name val="Arial"/>
      <family val="2"/>
    </font>
    <font>
      <i/>
      <sz val="9"/>
      <name val="Arial"/>
      <family val="2"/>
    </font>
    <font>
      <b/>
      <sz val="22"/>
      <name val="Arial"/>
      <family val="2"/>
    </font>
    <font>
      <b/>
      <i/>
      <sz val="16"/>
      <name val="Arial"/>
      <family val="2"/>
    </font>
    <font>
      <b/>
      <i/>
      <sz val="22"/>
      <name val="Arial"/>
      <family val="2"/>
    </font>
    <font>
      <i/>
      <sz val="8"/>
      <name val="Arial"/>
      <family val="2"/>
    </font>
    <font>
      <b/>
      <sz val="16"/>
      <color indexed="10"/>
      <name val="Arial"/>
      <family val="2"/>
    </font>
    <font>
      <i/>
      <sz val="26"/>
      <color indexed="12"/>
      <name val="Arial"/>
      <family val="2"/>
    </font>
    <font>
      <b/>
      <sz val="12"/>
      <color indexed="10"/>
      <name val="Arial"/>
      <family val="2"/>
    </font>
    <font>
      <sz val="11"/>
      <color indexed="8"/>
      <name val="Frutiger 45 Light"/>
      <family val="2"/>
    </font>
    <font>
      <b/>
      <sz val="11"/>
      <color indexed="8"/>
      <name val="Frutiger 45 Light"/>
    </font>
    <font>
      <i/>
      <sz val="11"/>
      <name val="Arial"/>
      <family val="2"/>
    </font>
    <font>
      <i/>
      <sz val="11"/>
      <color indexed="8"/>
      <name val="Frutiger 45 Light"/>
    </font>
    <font>
      <b/>
      <sz val="16"/>
      <color indexed="12"/>
      <name val="Arial"/>
      <family val="2"/>
    </font>
    <font>
      <sz val="40"/>
      <color theme="4" tint="-0.249977111117893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3">
    <xf numFmtId="0" fontId="0" fillId="0" borderId="0" xfId="0"/>
    <xf numFmtId="0" fontId="9" fillId="0" borderId="0" xfId="0" applyFont="1"/>
    <xf numFmtId="0" fontId="9" fillId="0" borderId="0" xfId="0" applyFont="1" applyProtection="1">
      <protection hidden="1"/>
    </xf>
    <xf numFmtId="0" fontId="2" fillId="0" borderId="0" xfId="0" applyFont="1" applyBorder="1" applyProtection="1">
      <protection hidden="1"/>
    </xf>
    <xf numFmtId="0" fontId="9" fillId="0" borderId="1" xfId="0" applyFont="1" applyBorder="1" applyProtection="1">
      <protection hidden="1"/>
    </xf>
    <xf numFmtId="0" fontId="2" fillId="0" borderId="0" xfId="0" applyFont="1" applyProtection="1">
      <protection hidden="1"/>
    </xf>
    <xf numFmtId="0" fontId="2" fillId="0" borderId="1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2" fillId="0" borderId="4" xfId="0" applyFont="1" applyBorder="1" applyProtection="1">
      <protection hidden="1"/>
    </xf>
    <xf numFmtId="0" fontId="2" fillId="0" borderId="5" xfId="0" applyFont="1" applyBorder="1" applyProtection="1">
      <protection hidden="1"/>
    </xf>
    <xf numFmtId="0" fontId="2" fillId="0" borderId="6" xfId="0" applyFont="1" applyBorder="1" applyProtection="1">
      <protection hidden="1"/>
    </xf>
    <xf numFmtId="0" fontId="4" fillId="0" borderId="3" xfId="0" applyFont="1" applyBorder="1" applyProtection="1">
      <protection hidden="1"/>
    </xf>
    <xf numFmtId="0" fontId="9" fillId="0" borderId="7" xfId="0" applyFont="1" applyBorder="1" applyProtection="1">
      <protection hidden="1"/>
    </xf>
    <xf numFmtId="0" fontId="10" fillId="0" borderId="0" xfId="0" applyFont="1" applyFill="1" applyBorder="1" applyProtection="1">
      <protection hidden="1"/>
    </xf>
    <xf numFmtId="0" fontId="2" fillId="0" borderId="4" xfId="0" applyFont="1" applyFill="1" applyBorder="1" applyProtection="1">
      <protection hidden="1"/>
    </xf>
    <xf numFmtId="0" fontId="20" fillId="0" borderId="0" xfId="0" applyFont="1" applyFill="1" applyBorder="1" applyProtection="1">
      <protection hidden="1"/>
    </xf>
    <xf numFmtId="0" fontId="20" fillId="0" borderId="4" xfId="0" applyFont="1" applyFill="1" applyBorder="1" applyProtection="1">
      <protection hidden="1"/>
    </xf>
    <xf numFmtId="0" fontId="20" fillId="0" borderId="6" xfId="0" applyFont="1" applyFill="1" applyBorder="1" applyProtection="1">
      <protection hidden="1"/>
    </xf>
    <xf numFmtId="0" fontId="20" fillId="0" borderId="0" xfId="0" applyFont="1" applyFill="1" applyProtection="1">
      <protection hidden="1"/>
    </xf>
    <xf numFmtId="0" fontId="21" fillId="0" borderId="0" xfId="0" applyFont="1" applyBorder="1" applyProtection="1">
      <protection hidden="1"/>
    </xf>
    <xf numFmtId="0" fontId="2" fillId="0" borderId="0" xfId="0" applyFont="1" applyFill="1" applyBorder="1" applyProtection="1">
      <protection hidden="1"/>
    </xf>
    <xf numFmtId="0" fontId="2" fillId="0" borderId="0" xfId="0" applyFont="1" applyFill="1" applyProtection="1">
      <protection hidden="1"/>
    </xf>
    <xf numFmtId="0" fontId="10" fillId="0" borderId="4" xfId="0" applyFont="1" applyFill="1" applyBorder="1" applyProtection="1">
      <protection hidden="1"/>
    </xf>
    <xf numFmtId="0" fontId="4" fillId="0" borderId="7" xfId="0" applyFont="1" applyBorder="1" applyProtection="1">
      <protection hidden="1"/>
    </xf>
    <xf numFmtId="0" fontId="9" fillId="0" borderId="3" xfId="0" applyFont="1" applyBorder="1" applyProtection="1">
      <protection hidden="1"/>
    </xf>
    <xf numFmtId="0" fontId="11" fillId="0" borderId="0" xfId="0" applyFont="1" applyBorder="1" applyAlignment="1" applyProtection="1">
      <alignment horizontal="center"/>
      <protection hidden="1"/>
    </xf>
    <xf numFmtId="0" fontId="9" fillId="0" borderId="4" xfId="0" applyFont="1" applyBorder="1" applyProtection="1">
      <protection hidden="1"/>
    </xf>
    <xf numFmtId="0" fontId="23" fillId="0" borderId="0" xfId="0" applyFont="1" applyBorder="1" applyAlignment="1" applyProtection="1">
      <alignment horizontal="center"/>
      <protection hidden="1"/>
    </xf>
    <xf numFmtId="1" fontId="2" fillId="0" borderId="1" xfId="0" applyNumberFormat="1" applyFont="1" applyBorder="1" applyProtection="1">
      <protection hidden="1"/>
    </xf>
    <xf numFmtId="1" fontId="2" fillId="0" borderId="4" xfId="0" applyNumberFormat="1" applyFont="1" applyBorder="1" applyProtection="1">
      <protection hidden="1"/>
    </xf>
    <xf numFmtId="0" fontId="25" fillId="0" borderId="0" xfId="0" applyFont="1" applyFill="1" applyBorder="1" applyProtection="1">
      <protection hidden="1"/>
    </xf>
    <xf numFmtId="0" fontId="26" fillId="0" borderId="0" xfId="0" applyFont="1" applyBorder="1" applyAlignment="1" applyProtection="1">
      <alignment horizontal="center"/>
      <protection hidden="1"/>
    </xf>
    <xf numFmtId="0" fontId="25" fillId="0" borderId="0" xfId="0" applyFont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>
      <alignment vertical="center"/>
    </xf>
    <xf numFmtId="0" fontId="4" fillId="0" borderId="3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2" fillId="0" borderId="4" xfId="0" applyFont="1" applyBorder="1" applyAlignment="1" applyProtection="1">
      <alignment vertical="center"/>
      <protection hidden="1"/>
    </xf>
    <xf numFmtId="0" fontId="2" fillId="0" borderId="3" xfId="0" applyFont="1" applyBorder="1" applyAlignment="1" applyProtection="1">
      <alignment vertical="center"/>
      <protection hidden="1"/>
    </xf>
    <xf numFmtId="0" fontId="21" fillId="0" borderId="0" xfId="0" applyFont="1" applyBorder="1" applyAlignment="1" applyProtection="1">
      <alignment vertical="center"/>
      <protection hidden="1"/>
    </xf>
    <xf numFmtId="0" fontId="22" fillId="0" borderId="0" xfId="0" applyFont="1" applyBorder="1" applyAlignment="1" applyProtection="1">
      <alignment horizontal="right" vertical="center"/>
      <protection hidden="1"/>
    </xf>
    <xf numFmtId="0" fontId="18" fillId="0" borderId="8" xfId="0" applyFont="1" applyBorder="1" applyAlignment="1" applyProtection="1">
      <alignment horizontal="center" vertical="center"/>
      <protection hidden="1"/>
    </xf>
    <xf numFmtId="0" fontId="21" fillId="0" borderId="0" xfId="0" applyFont="1" applyFill="1" applyAlignment="1" applyProtection="1">
      <alignment vertical="center"/>
      <protection hidden="1"/>
    </xf>
    <xf numFmtId="0" fontId="2" fillId="0" borderId="0" xfId="0" applyFont="1" applyFill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right" vertical="center"/>
      <protection hidden="1"/>
    </xf>
    <xf numFmtId="0" fontId="18" fillId="0" borderId="9" xfId="0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vertical="center"/>
      <protection hidden="1"/>
    </xf>
    <xf numFmtId="0" fontId="2" fillId="0" borderId="6" xfId="0" applyFont="1" applyFill="1" applyBorder="1" applyAlignment="1" applyProtection="1">
      <alignment vertical="center"/>
      <protection hidden="1"/>
    </xf>
    <xf numFmtId="1" fontId="18" fillId="0" borderId="10" xfId="0" applyNumberFormat="1" applyFont="1" applyBorder="1" applyAlignment="1" applyProtection="1">
      <alignment horizontal="center" vertical="center"/>
      <protection hidden="1"/>
    </xf>
    <xf numFmtId="0" fontId="21" fillId="0" borderId="3" xfId="0" applyFont="1" applyBorder="1" applyAlignment="1" applyProtection="1">
      <alignment vertical="center"/>
      <protection hidden="1"/>
    </xf>
    <xf numFmtId="0" fontId="2" fillId="0" borderId="7" xfId="0" applyFont="1" applyBorder="1" applyAlignment="1" applyProtection="1">
      <alignment vertical="center"/>
      <protection hidden="1"/>
    </xf>
    <xf numFmtId="0" fontId="21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1" fillId="0" borderId="0" xfId="0" applyFont="1" applyFill="1" applyBorder="1" applyAlignment="1" applyProtection="1">
      <alignment vertical="center"/>
      <protection hidden="1"/>
    </xf>
    <xf numFmtId="0" fontId="2" fillId="0" borderId="5" xfId="0" applyFont="1" applyBorder="1" applyAlignment="1" applyProtection="1">
      <alignment vertical="center"/>
      <protection hidden="1"/>
    </xf>
    <xf numFmtId="0" fontId="2" fillId="0" borderId="11" xfId="0" applyFont="1" applyBorder="1" applyAlignment="1" applyProtection="1">
      <alignment vertical="center"/>
      <protection hidden="1"/>
    </xf>
    <xf numFmtId="0" fontId="2" fillId="0" borderId="12" xfId="0" applyFont="1" applyBorder="1" applyAlignment="1" applyProtection="1">
      <alignment vertical="center"/>
      <protection hidden="1"/>
    </xf>
    <xf numFmtId="0" fontId="2" fillId="0" borderId="13" xfId="0" applyFont="1" applyBorder="1" applyAlignment="1" applyProtection="1">
      <alignment vertical="center"/>
      <protection hidden="1"/>
    </xf>
    <xf numFmtId="0" fontId="21" fillId="0" borderId="3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vertical="center"/>
      <protection hidden="1"/>
    </xf>
    <xf numFmtId="1" fontId="18" fillId="0" borderId="14" xfId="0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 applyBorder="1" applyAlignment="1" applyProtection="1">
      <alignment horizontal="center" vertical="center"/>
      <protection hidden="1"/>
    </xf>
    <xf numFmtId="0" fontId="18" fillId="0" borderId="0" xfId="0" applyFont="1" applyBorder="1" applyAlignment="1" applyProtection="1">
      <alignment horizontal="left" vertical="center"/>
      <protection hidden="1"/>
    </xf>
    <xf numFmtId="0" fontId="2" fillId="0" borderId="10" xfId="0" applyFont="1" applyBorder="1" applyAlignment="1" applyProtection="1">
      <alignment vertical="center"/>
      <protection hidden="1"/>
    </xf>
    <xf numFmtId="0" fontId="2" fillId="0" borderId="3" xfId="0" applyFont="1" applyFill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horizontal="right" vertical="center"/>
      <protection hidden="1"/>
    </xf>
    <xf numFmtId="0" fontId="22" fillId="0" borderId="0" xfId="0" applyFont="1" applyBorder="1" applyAlignment="1" applyProtection="1">
      <alignment horizontal="center" vertical="center"/>
      <protection hidden="1"/>
    </xf>
    <xf numFmtId="0" fontId="2" fillId="0" borderId="9" xfId="0" applyFont="1" applyFill="1" applyBorder="1" applyAlignment="1" applyProtection="1">
      <alignment vertical="center"/>
      <protection hidden="1"/>
    </xf>
    <xf numFmtId="0" fontId="2" fillId="0" borderId="9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right" vertical="center"/>
      <protection hidden="1"/>
    </xf>
    <xf numFmtId="0" fontId="21" fillId="0" borderId="3" xfId="0" applyFont="1" applyFill="1" applyBorder="1" applyAlignment="1" applyProtection="1">
      <alignment horizontal="left" vertical="center"/>
      <protection hidden="1"/>
    </xf>
    <xf numFmtId="0" fontId="2" fillId="0" borderId="0" xfId="0" applyFont="1" applyFill="1" applyAlignment="1">
      <alignment vertical="center"/>
    </xf>
    <xf numFmtId="0" fontId="9" fillId="0" borderId="0" xfId="0" applyFont="1" applyFill="1" applyProtection="1">
      <protection hidden="1"/>
    </xf>
    <xf numFmtId="0" fontId="2" fillId="0" borderId="6" xfId="0" applyFont="1" applyFill="1" applyBorder="1" applyProtection="1">
      <protection hidden="1"/>
    </xf>
    <xf numFmtId="0" fontId="17" fillId="0" borderId="11" xfId="0" applyFont="1" applyFill="1" applyBorder="1" applyAlignment="1" applyProtection="1">
      <alignment vertical="center"/>
      <protection hidden="1"/>
    </xf>
    <xf numFmtId="0" fontId="2" fillId="0" borderId="11" xfId="0" applyFont="1" applyFill="1" applyBorder="1" applyAlignment="1" applyProtection="1">
      <alignment vertical="center"/>
      <protection hidden="1"/>
    </xf>
    <xf numFmtId="0" fontId="17" fillId="0" borderId="0" xfId="0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Protection="1">
      <protection hidden="1"/>
    </xf>
    <xf numFmtId="0" fontId="15" fillId="0" borderId="0" xfId="0" applyFont="1" applyBorder="1" applyProtection="1">
      <protection hidden="1"/>
    </xf>
    <xf numFmtId="0" fontId="17" fillId="0" borderId="0" xfId="0" applyFont="1" applyBorder="1" applyAlignment="1" applyProtection="1">
      <alignment horizontal="center"/>
      <protection hidden="1"/>
    </xf>
    <xf numFmtId="0" fontId="9" fillId="0" borderId="0" xfId="0" applyFont="1" applyProtection="1"/>
    <xf numFmtId="0" fontId="16" fillId="0" borderId="0" xfId="0" applyFont="1" applyBorder="1" applyAlignment="1" applyProtection="1">
      <alignment horizontal="right"/>
      <protection hidden="1"/>
    </xf>
    <xf numFmtId="0" fontId="18" fillId="0" borderId="15" xfId="0" applyFont="1" applyBorder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left" vertical="center"/>
      <protection hidden="1"/>
    </xf>
    <xf numFmtId="49" fontId="21" fillId="0" borderId="0" xfId="0" applyNumberFormat="1" applyFont="1" applyFill="1" applyBorder="1" applyAlignment="1" applyProtection="1">
      <alignment horizontal="center" vertical="center"/>
      <protection hidden="1"/>
    </xf>
    <xf numFmtId="1" fontId="18" fillId="0" borderId="6" xfId="0" applyNumberFormat="1" applyFont="1" applyFill="1" applyBorder="1" applyAlignment="1" applyProtection="1">
      <alignment horizontal="center" vertical="center"/>
      <protection hidden="1"/>
    </xf>
    <xf numFmtId="0" fontId="28" fillId="0" borderId="0" xfId="0" applyFont="1" applyFill="1" applyProtection="1"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2" xfId="0" applyFont="1" applyFill="1" applyBorder="1" applyAlignment="1" applyProtection="1">
      <alignment vertical="center"/>
      <protection hidden="1"/>
    </xf>
    <xf numFmtId="0" fontId="2" fillId="0" borderId="1" xfId="0" applyFont="1" applyFill="1" applyBorder="1" applyAlignment="1" applyProtection="1">
      <alignment vertical="center"/>
      <protection hidden="1"/>
    </xf>
    <xf numFmtId="0" fontId="2" fillId="0" borderId="4" xfId="0" applyFont="1" applyFill="1" applyBorder="1" applyAlignment="1" applyProtection="1">
      <alignment vertical="center"/>
      <protection hidden="1"/>
    </xf>
    <xf numFmtId="0" fontId="21" fillId="0" borderId="4" xfId="0" applyFont="1" applyFill="1" applyBorder="1" applyAlignment="1" applyProtection="1">
      <alignment vertical="center"/>
      <protection hidden="1"/>
    </xf>
    <xf numFmtId="0" fontId="20" fillId="0" borderId="3" xfId="0" applyFont="1" applyFill="1" applyBorder="1" applyProtection="1">
      <protection hidden="1"/>
    </xf>
    <xf numFmtId="0" fontId="32" fillId="0" borderId="0" xfId="0" applyFont="1" applyProtection="1">
      <protection hidden="1"/>
    </xf>
    <xf numFmtId="0" fontId="2" fillId="0" borderId="0" xfId="0" applyFont="1" applyBorder="1" applyAlignment="1">
      <alignment vertical="center"/>
    </xf>
    <xf numFmtId="0" fontId="25" fillId="0" borderId="0" xfId="0" applyFont="1" applyBorder="1" applyAlignment="1" applyProtection="1">
      <alignment horizontal="left"/>
      <protection hidden="1"/>
    </xf>
    <xf numFmtId="0" fontId="27" fillId="0" borderId="0" xfId="0" applyFont="1" applyAlignment="1" applyProtection="1">
      <alignment horizontal="left"/>
      <protection hidden="1"/>
    </xf>
    <xf numFmtId="0" fontId="10" fillId="0" borderId="0" xfId="0" applyFont="1" applyBorder="1" applyAlignment="1" applyProtection="1">
      <alignment horizontal="right"/>
      <protection hidden="1"/>
    </xf>
    <xf numFmtId="0" fontId="25" fillId="0" borderId="3" xfId="0" applyFont="1" applyBorder="1" applyAlignment="1" applyProtection="1">
      <alignment horizontal="left"/>
      <protection hidden="1"/>
    </xf>
    <xf numFmtId="0" fontId="21" fillId="0" borderId="0" xfId="0" applyFont="1" applyBorder="1" applyAlignment="1" applyProtection="1">
      <alignment horizontal="left"/>
      <protection hidden="1"/>
    </xf>
    <xf numFmtId="1" fontId="2" fillId="0" borderId="7" xfId="0" applyNumberFormat="1" applyFont="1" applyBorder="1" applyProtection="1">
      <protection hidden="1"/>
    </xf>
    <xf numFmtId="0" fontId="2" fillId="0" borderId="13" xfId="0" applyFont="1" applyBorder="1" applyProtection="1">
      <protection hidden="1"/>
    </xf>
    <xf numFmtId="0" fontId="9" fillId="0" borderId="0" xfId="0" applyFont="1" applyAlignment="1">
      <alignment vertical="center"/>
    </xf>
    <xf numFmtId="0" fontId="2" fillId="0" borderId="0" xfId="0" applyFont="1" applyBorder="1" applyAlignment="1" applyProtection="1">
      <alignment horizontal="right" vertical="center"/>
      <protection hidden="1"/>
    </xf>
    <xf numFmtId="0" fontId="21" fillId="0" borderId="0" xfId="0" applyFont="1" applyFill="1" applyBorder="1" applyAlignment="1" applyProtection="1">
      <alignment horizontal="left" vertical="center"/>
      <protection hidden="1"/>
    </xf>
    <xf numFmtId="49" fontId="36" fillId="0" borderId="0" xfId="0" applyNumberFormat="1" applyFont="1" applyFill="1" applyBorder="1" applyAlignment="1" applyProtection="1">
      <alignment horizontal="center" vertical="center"/>
      <protection hidden="1"/>
    </xf>
    <xf numFmtId="0" fontId="16" fillId="0" borderId="0" xfId="0" applyFont="1" applyBorder="1" applyAlignment="1" applyProtection="1">
      <alignment horizontal="center" vertical="center"/>
      <protection hidden="1"/>
    </xf>
    <xf numFmtId="0" fontId="2" fillId="0" borderId="0" xfId="0" applyFont="1" applyProtection="1"/>
    <xf numFmtId="0" fontId="20" fillId="0" borderId="0" xfId="0" applyFont="1" applyFill="1" applyProtection="1"/>
    <xf numFmtId="202" fontId="37" fillId="0" borderId="0" xfId="0" applyNumberFormat="1" applyFont="1" applyFill="1" applyBorder="1" applyAlignment="1" applyProtection="1">
      <alignment horizontal="center"/>
      <protection hidden="1"/>
    </xf>
    <xf numFmtId="0" fontId="30" fillId="0" borderId="0" xfId="0" applyFont="1" applyFill="1" applyProtection="1"/>
    <xf numFmtId="0" fontId="39" fillId="0" borderId="0" xfId="0" applyFont="1" applyFill="1" applyBorder="1" applyAlignment="1" applyProtection="1">
      <alignment horizontal="center"/>
      <protection hidden="1"/>
    </xf>
    <xf numFmtId="1" fontId="37" fillId="0" borderId="0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left"/>
      <protection hidden="1"/>
    </xf>
    <xf numFmtId="0" fontId="40" fillId="0" borderId="0" xfId="0" applyFont="1" applyFill="1" applyBorder="1" applyAlignment="1" applyProtection="1">
      <alignment horizontal="center"/>
      <protection hidden="1"/>
    </xf>
    <xf numFmtId="204" fontId="40" fillId="0" borderId="0" xfId="0" applyNumberFormat="1" applyFont="1" applyFill="1" applyBorder="1" applyAlignment="1" applyProtection="1">
      <alignment horizontal="left"/>
      <protection hidden="1"/>
    </xf>
    <xf numFmtId="0" fontId="2" fillId="0" borderId="2" xfId="0" applyFont="1" applyFill="1" applyBorder="1" applyProtection="1">
      <protection hidden="1"/>
    </xf>
    <xf numFmtId="0" fontId="2" fillId="0" borderId="5" xfId="0" applyFont="1" applyFill="1" applyBorder="1" applyProtection="1">
      <protection hidden="1"/>
    </xf>
    <xf numFmtId="0" fontId="2" fillId="3" borderId="0" xfId="0" applyFont="1" applyFill="1" applyProtection="1">
      <protection hidden="1"/>
    </xf>
    <xf numFmtId="0" fontId="2" fillId="0" borderId="3" xfId="0" applyFont="1" applyFill="1" applyBorder="1" applyProtection="1">
      <protection hidden="1"/>
    </xf>
    <xf numFmtId="0" fontId="2" fillId="0" borderId="7" xfId="0" applyFont="1" applyFill="1" applyBorder="1" applyProtection="1">
      <protection hidden="1"/>
    </xf>
    <xf numFmtId="0" fontId="4" fillId="0" borderId="0" xfId="0" applyFont="1" applyFill="1" applyBorder="1" applyProtection="1">
      <protection hidden="1"/>
    </xf>
    <xf numFmtId="1" fontId="2" fillId="3" borderId="0" xfId="0" applyNumberFormat="1" applyFont="1" applyFill="1" applyProtection="1">
      <protection hidden="1"/>
    </xf>
    <xf numFmtId="204" fontId="4" fillId="0" borderId="0" xfId="0" applyNumberFormat="1" applyFont="1" applyBorder="1" applyAlignment="1" applyProtection="1">
      <alignment horizontal="center"/>
      <protection hidden="1"/>
    </xf>
    <xf numFmtId="0" fontId="2" fillId="0" borderId="7" xfId="0" applyFont="1" applyBorder="1" applyProtection="1"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2" fillId="0" borderId="4" xfId="0" applyFont="1" applyBorder="1" applyAlignment="1" applyProtection="1">
      <alignment horizontal="center"/>
      <protection hidden="1"/>
    </xf>
    <xf numFmtId="0" fontId="2" fillId="0" borderId="6" xfId="0" applyFont="1" applyBorder="1" applyAlignment="1" applyProtection="1">
      <alignment horizontal="center"/>
      <protection hidden="1"/>
    </xf>
    <xf numFmtId="0" fontId="41" fillId="0" borderId="4" xfId="0" applyFont="1" applyBorder="1" applyProtection="1">
      <protection hidden="1"/>
    </xf>
    <xf numFmtId="0" fontId="27" fillId="0" borderId="0" xfId="0" applyFont="1" applyFill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Protection="1">
      <protection hidden="1"/>
    </xf>
    <xf numFmtId="0" fontId="4" fillId="0" borderId="6" xfId="0" applyFont="1" applyFill="1" applyBorder="1" applyAlignment="1" applyProtection="1">
      <alignment horizontal="left"/>
      <protection hidden="1"/>
    </xf>
    <xf numFmtId="202" fontId="47" fillId="4" borderId="14" xfId="0" applyNumberFormat="1" applyFont="1" applyFill="1" applyBorder="1" applyAlignment="1" applyProtection="1">
      <alignment horizontal="center"/>
      <protection locked="0"/>
    </xf>
    <xf numFmtId="1" fontId="20" fillId="0" borderId="14" xfId="0" applyNumberFormat="1" applyFont="1" applyBorder="1" applyAlignment="1" applyProtection="1">
      <alignment horizontal="center"/>
      <protection hidden="1"/>
    </xf>
    <xf numFmtId="0" fontId="46" fillId="4" borderId="0" xfId="0" applyFont="1" applyFill="1" applyProtection="1">
      <protection locked="0"/>
    </xf>
    <xf numFmtId="0" fontId="48" fillId="0" borderId="0" xfId="0" applyFont="1" applyProtection="1"/>
    <xf numFmtId="202" fontId="49" fillId="5" borderId="0" xfId="0" applyNumberFormat="1" applyFont="1" applyFill="1" applyProtection="1"/>
    <xf numFmtId="1" fontId="30" fillId="0" borderId="0" xfId="0" applyNumberFormat="1" applyFont="1" applyFill="1" applyBorder="1" applyAlignment="1" applyProtection="1">
      <alignment horizontal="center"/>
      <protection hidden="1"/>
    </xf>
    <xf numFmtId="0" fontId="33" fillId="4" borderId="0" xfId="0" applyFont="1" applyFill="1" applyProtection="1"/>
    <xf numFmtId="0" fontId="34" fillId="4" borderId="0" xfId="0" applyFont="1" applyFill="1" applyProtection="1"/>
    <xf numFmtId="0" fontId="9" fillId="6" borderId="0" xfId="0" applyFont="1" applyFill="1" applyProtection="1"/>
    <xf numFmtId="0" fontId="6" fillId="6" borderId="0" xfId="0" applyFont="1" applyFill="1" applyProtection="1"/>
    <xf numFmtId="0" fontId="14" fillId="0" borderId="0" xfId="0" applyFont="1" applyProtection="1"/>
    <xf numFmtId="0" fontId="15" fillId="0" borderId="0" xfId="0" applyFont="1" applyFill="1" applyBorder="1" applyAlignment="1" applyProtection="1">
      <alignment horizontal="left"/>
      <protection hidden="1"/>
    </xf>
    <xf numFmtId="0" fontId="16" fillId="0" borderId="16" xfId="0" applyFont="1" applyBorder="1" applyAlignment="1" applyProtection="1">
      <alignment horizontal="left" vertical="center"/>
      <protection hidden="1"/>
    </xf>
    <xf numFmtId="0" fontId="9" fillId="0" borderId="1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hidden="1"/>
    </xf>
    <xf numFmtId="202" fontId="4" fillId="0" borderId="14" xfId="0" applyNumberFormat="1" applyFont="1" applyBorder="1" applyAlignment="1" applyProtection="1">
      <alignment horizontal="center"/>
      <protection locked="0"/>
    </xf>
    <xf numFmtId="0" fontId="33" fillId="4" borderId="0" xfId="0" applyFont="1" applyFill="1" applyAlignment="1" applyProtection="1">
      <alignment horizontal="right"/>
    </xf>
    <xf numFmtId="202" fontId="39" fillId="0" borderId="0" xfId="0" applyNumberFormat="1" applyFont="1" applyFill="1" applyBorder="1" applyAlignment="1" applyProtection="1">
      <alignment horizontal="center"/>
      <protection hidden="1"/>
    </xf>
    <xf numFmtId="2" fontId="37" fillId="0" borderId="0" xfId="0" applyNumberFormat="1" applyFont="1" applyFill="1" applyBorder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0" fontId="51" fillId="4" borderId="0" xfId="0" applyFont="1" applyFill="1" applyAlignment="1" applyProtection="1">
      <alignment horizontal="right"/>
    </xf>
    <xf numFmtId="0" fontId="14" fillId="0" borderId="0" xfId="0" applyFont="1" applyAlignment="1" applyProtection="1">
      <alignment horizontal="right" vertical="center"/>
      <protection hidden="1"/>
    </xf>
    <xf numFmtId="0" fontId="14" fillId="0" borderId="0" xfId="0" applyFont="1" applyAlignment="1">
      <alignment horizontal="right"/>
    </xf>
    <xf numFmtId="1" fontId="18" fillId="0" borderId="5" xfId="0" applyNumberFormat="1" applyFont="1" applyBorder="1" applyAlignment="1" applyProtection="1">
      <alignment horizontal="center" vertical="center"/>
      <protection hidden="1"/>
    </xf>
    <xf numFmtId="0" fontId="22" fillId="0" borderId="4" xfId="0" applyFont="1" applyBorder="1" applyAlignment="1" applyProtection="1">
      <alignment horizontal="right" vertical="center"/>
      <protection hidden="1"/>
    </xf>
    <xf numFmtId="0" fontId="32" fillId="0" borderId="3" xfId="0" applyFont="1" applyBorder="1" applyAlignment="1" applyProtection="1">
      <alignment vertical="center"/>
      <protection hidden="1"/>
    </xf>
    <xf numFmtId="0" fontId="2" fillId="0" borderId="6" xfId="0" applyFont="1" applyFill="1" applyBorder="1" applyAlignment="1">
      <alignment vertical="center"/>
    </xf>
    <xf numFmtId="0" fontId="22" fillId="0" borderId="11" xfId="0" applyFont="1" applyBorder="1" applyAlignment="1" applyProtection="1">
      <alignment horizontal="right" vertical="center"/>
      <protection hidden="1"/>
    </xf>
    <xf numFmtId="0" fontId="2" fillId="0" borderId="11" xfId="0" applyFont="1" applyFill="1" applyBorder="1" applyAlignment="1" applyProtection="1">
      <alignment horizontal="right" vertical="center"/>
      <protection hidden="1"/>
    </xf>
    <xf numFmtId="0" fontId="2" fillId="0" borderId="7" xfId="0" applyFont="1" applyBorder="1" applyAlignment="1">
      <alignment vertical="center"/>
    </xf>
    <xf numFmtId="1" fontId="17" fillId="0" borderId="14" xfId="0" applyNumberFormat="1" applyFont="1" applyFill="1" applyBorder="1" applyAlignment="1" applyProtection="1">
      <alignment horizontal="center" vertical="center"/>
      <protection hidden="1"/>
    </xf>
    <xf numFmtId="0" fontId="2" fillId="0" borderId="18" xfId="0" applyFont="1" applyBorder="1" applyAlignment="1">
      <alignment vertical="center"/>
    </xf>
    <xf numFmtId="0" fontId="20" fillId="0" borderId="7" xfId="0" applyFont="1" applyBorder="1" applyProtection="1">
      <protection hidden="1"/>
    </xf>
    <xf numFmtId="0" fontId="20" fillId="0" borderId="1" xfId="0" applyFont="1" applyBorder="1" applyProtection="1">
      <protection hidden="1"/>
    </xf>
    <xf numFmtId="0" fontId="20" fillId="0" borderId="3" xfId="0" applyFont="1" applyBorder="1" applyProtection="1">
      <protection hidden="1"/>
    </xf>
    <xf numFmtId="0" fontId="20" fillId="0" borderId="4" xfId="0" applyFont="1" applyBorder="1" applyProtection="1">
      <protection hidden="1"/>
    </xf>
    <xf numFmtId="0" fontId="20" fillId="0" borderId="5" xfId="0" applyFont="1" applyBorder="1" applyProtection="1">
      <protection hidden="1"/>
    </xf>
    <xf numFmtId="0" fontId="58" fillId="6" borderId="0" xfId="0" applyFont="1" applyFill="1" applyProtection="1">
      <protection hidden="1"/>
    </xf>
    <xf numFmtId="0" fontId="59" fillId="0" borderId="0" xfId="0" applyFont="1" applyBorder="1" applyAlignment="1" applyProtection="1">
      <alignment horizontal="left"/>
      <protection hidden="1"/>
    </xf>
    <xf numFmtId="0" fontId="18" fillId="0" borderId="10" xfId="0" applyFont="1" applyBorder="1" applyAlignment="1" applyProtection="1">
      <alignment horizontal="center" vertical="center"/>
      <protection hidden="1"/>
    </xf>
    <xf numFmtId="0" fontId="39" fillId="0" borderId="2" xfId="0" applyFont="1" applyFill="1" applyBorder="1" applyAlignment="1" applyProtection="1">
      <alignment horizontal="center"/>
      <protection hidden="1"/>
    </xf>
    <xf numFmtId="1" fontId="37" fillId="0" borderId="2" xfId="0" applyNumberFormat="1" applyFont="1" applyFill="1" applyBorder="1" applyAlignment="1" applyProtection="1">
      <alignment horizontal="center"/>
      <protection hidden="1"/>
    </xf>
    <xf numFmtId="0" fontId="39" fillId="0" borderId="6" xfId="0" applyFont="1" applyFill="1" applyBorder="1" applyAlignment="1" applyProtection="1">
      <alignment horizontal="center"/>
      <protection hidden="1"/>
    </xf>
    <xf numFmtId="1" fontId="37" fillId="0" borderId="6" xfId="0" applyNumberFormat="1" applyFont="1" applyFill="1" applyBorder="1" applyAlignment="1" applyProtection="1">
      <alignment horizontal="center"/>
      <protection hidden="1"/>
    </xf>
    <xf numFmtId="1" fontId="30" fillId="0" borderId="6" xfId="0" applyNumberFormat="1" applyFont="1" applyFill="1" applyBorder="1" applyAlignment="1" applyProtection="1">
      <alignment horizontal="center"/>
      <protection hidden="1"/>
    </xf>
    <xf numFmtId="0" fontId="39" fillId="0" borderId="11" xfId="0" applyFont="1" applyFill="1" applyBorder="1" applyAlignment="1" applyProtection="1">
      <alignment horizontal="center"/>
      <protection hidden="1"/>
    </xf>
    <xf numFmtId="0" fontId="39" fillId="0" borderId="8" xfId="0" applyFont="1" applyFill="1" applyBorder="1" applyAlignment="1" applyProtection="1">
      <alignment horizontal="center"/>
      <protection hidden="1"/>
    </xf>
    <xf numFmtId="1" fontId="18" fillId="0" borderId="10" xfId="0" applyNumberFormat="1" applyFont="1" applyBorder="1" applyAlignment="1">
      <alignment horizontal="center" vertical="center"/>
    </xf>
    <xf numFmtId="0" fontId="18" fillId="0" borderId="19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18" fillId="0" borderId="7" xfId="0" applyFont="1" applyBorder="1" applyAlignment="1" applyProtection="1">
      <alignment horizontal="center" vertical="center"/>
      <protection hidden="1"/>
    </xf>
    <xf numFmtId="1" fontId="17" fillId="0" borderId="16" xfId="0" applyNumberFormat="1" applyFont="1" applyBorder="1" applyAlignment="1" applyProtection="1">
      <alignment horizontal="center" vertical="center"/>
      <protection hidden="1"/>
    </xf>
    <xf numFmtId="0" fontId="16" fillId="0" borderId="20" xfId="0" applyFont="1" applyBorder="1" applyAlignment="1" applyProtection="1">
      <alignment horizontal="left" vertical="center"/>
      <protection hidden="1"/>
    </xf>
    <xf numFmtId="0" fontId="16" fillId="0" borderId="21" xfId="0" applyFont="1" applyBorder="1" applyAlignment="1" applyProtection="1">
      <alignment horizontal="left" vertical="center"/>
      <protection hidden="1"/>
    </xf>
    <xf numFmtId="0" fontId="9" fillId="0" borderId="21" xfId="0" applyFont="1" applyBorder="1" applyAlignment="1">
      <alignment horizontal="left" vertical="center"/>
    </xf>
    <xf numFmtId="0" fontId="21" fillId="0" borderId="2" xfId="0" applyFont="1" applyFill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2" fillId="0" borderId="0" xfId="0" applyFont="1" applyFill="1" applyBorder="1" applyAlignment="1">
      <alignment vertical="center"/>
    </xf>
    <xf numFmtId="1" fontId="57" fillId="5" borderId="0" xfId="0" applyNumberFormat="1" applyFont="1" applyFill="1" applyProtection="1"/>
    <xf numFmtId="1" fontId="2" fillId="0" borderId="14" xfId="0" applyNumberFormat="1" applyFont="1" applyFill="1" applyBorder="1" applyAlignment="1" applyProtection="1">
      <alignment horizontal="center" vertical="center"/>
      <protection hidden="1"/>
    </xf>
    <xf numFmtId="0" fontId="32" fillId="0" borderId="0" xfId="0" applyFont="1" applyBorder="1" applyAlignment="1" applyProtection="1">
      <alignment vertical="center"/>
      <protection hidden="1"/>
    </xf>
    <xf numFmtId="0" fontId="21" fillId="0" borderId="0" xfId="0" applyFont="1" applyFill="1" applyBorder="1" applyAlignment="1" applyProtection="1">
      <alignment horizontal="center" vertical="center"/>
      <protection hidden="1"/>
    </xf>
    <xf numFmtId="1" fontId="18" fillId="0" borderId="0" xfId="0" applyNumberFormat="1" applyFont="1" applyFill="1" applyBorder="1" applyAlignment="1" applyProtection="1">
      <alignment horizontal="center" vertical="center"/>
      <protection hidden="1"/>
    </xf>
    <xf numFmtId="0" fontId="24" fillId="0" borderId="3" xfId="0" applyFont="1" applyFill="1" applyBorder="1" applyAlignment="1" applyProtection="1">
      <alignment horizontal="right" vertical="center"/>
      <protection hidden="1"/>
    </xf>
    <xf numFmtId="0" fontId="0" fillId="0" borderId="3" xfId="0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hidden="1"/>
    </xf>
    <xf numFmtId="0" fontId="24" fillId="0" borderId="0" xfId="0" applyFont="1" applyFill="1" applyBorder="1" applyAlignment="1" applyProtection="1">
      <alignment horizontal="right" vertical="center"/>
      <protection hidden="1"/>
    </xf>
    <xf numFmtId="0" fontId="9" fillId="0" borderId="4" xfId="0" applyFont="1" applyFill="1" applyBorder="1" applyAlignment="1" applyProtection="1">
      <alignment vertical="center"/>
      <protection hidden="1"/>
    </xf>
    <xf numFmtId="0" fontId="37" fillId="0" borderId="0" xfId="0" applyFont="1" applyFill="1" applyBorder="1" applyAlignment="1" applyProtection="1">
      <alignment horizontal="center"/>
      <protection hidden="1"/>
    </xf>
    <xf numFmtId="0" fontId="37" fillId="0" borderId="2" xfId="0" applyFont="1" applyFill="1" applyBorder="1" applyAlignment="1" applyProtection="1">
      <alignment horizontal="center"/>
      <protection hidden="1"/>
    </xf>
    <xf numFmtId="0" fontId="61" fillId="0" borderId="0" xfId="0" quotePrefix="1" applyFont="1"/>
    <xf numFmtId="0" fontId="0" fillId="0" borderId="0" xfId="0" applyFill="1"/>
    <xf numFmtId="0" fontId="9" fillId="0" borderId="0" xfId="0" applyFont="1" applyAlignment="1" applyProtection="1">
      <alignment horizontal="right"/>
    </xf>
    <xf numFmtId="0" fontId="11" fillId="0" borderId="0" xfId="0" applyFont="1" applyFill="1"/>
    <xf numFmtId="0" fontId="12" fillId="0" borderId="0" xfId="0" applyFont="1"/>
    <xf numFmtId="0" fontId="9" fillId="0" borderId="14" xfId="0" applyFont="1" applyBorder="1" applyAlignment="1" applyProtection="1">
      <alignment vertical="top"/>
    </xf>
    <xf numFmtId="0" fontId="9" fillId="0" borderId="0" xfId="0" applyFont="1" applyAlignment="1" applyProtection="1">
      <alignment horizontal="right"/>
      <protection hidden="1"/>
    </xf>
    <xf numFmtId="0" fontId="66" fillId="0" borderId="0" xfId="0" applyFont="1" applyProtection="1">
      <protection hidden="1"/>
    </xf>
    <xf numFmtId="0" fontId="16" fillId="0" borderId="0" xfId="0" applyFont="1" applyAlignment="1" applyProtection="1"/>
    <xf numFmtId="0" fontId="35" fillId="4" borderId="0" xfId="0" applyFont="1" applyFill="1" applyProtection="1"/>
    <xf numFmtId="0" fontId="60" fillId="0" borderId="0" xfId="0" applyFont="1" applyProtection="1"/>
    <xf numFmtId="0" fontId="0" fillId="0" borderId="0" xfId="0" applyProtection="1"/>
    <xf numFmtId="0" fontId="61" fillId="0" borderId="0" xfId="0" quotePrefix="1" applyFont="1" applyProtection="1"/>
    <xf numFmtId="0" fontId="40" fillId="0" borderId="0" xfId="0" applyFont="1" applyFill="1" applyProtection="1"/>
    <xf numFmtId="0" fontId="0" fillId="0" borderId="0" xfId="0" applyFill="1" applyProtection="1"/>
    <xf numFmtId="0" fontId="0" fillId="0" borderId="0" xfId="0" applyFill="1" applyAlignment="1" applyProtection="1">
      <alignment horizontal="center"/>
    </xf>
    <xf numFmtId="0" fontId="45" fillId="6" borderId="0" xfId="0" applyFont="1" applyFill="1" applyProtection="1"/>
    <xf numFmtId="0" fontId="52" fillId="6" borderId="0" xfId="0" applyFont="1" applyFill="1" applyAlignment="1" applyProtection="1">
      <alignment horizontal="right"/>
    </xf>
    <xf numFmtId="0" fontId="9" fillId="0" borderId="0" xfId="0" quotePrefix="1" applyFont="1" applyProtection="1"/>
    <xf numFmtId="213" fontId="9" fillId="0" borderId="0" xfId="0" applyNumberFormat="1" applyFont="1" applyProtection="1"/>
    <xf numFmtId="0" fontId="9" fillId="0" borderId="0" xfId="0" applyFont="1" applyAlignment="1" applyProtection="1">
      <alignment horizontal="left"/>
    </xf>
    <xf numFmtId="0" fontId="20" fillId="0" borderId="0" xfId="0" applyFont="1" applyProtection="1"/>
    <xf numFmtId="0" fontId="16" fillId="0" borderId="0" xfId="0" applyFont="1" applyAlignment="1" applyProtection="1">
      <alignment horizontal="right"/>
    </xf>
    <xf numFmtId="0" fontId="68" fillId="0" borderId="0" xfId="0" applyFont="1" applyFill="1" applyProtection="1"/>
    <xf numFmtId="0" fontId="7" fillId="0" borderId="0" xfId="0" applyFont="1" applyFill="1" applyProtection="1"/>
    <xf numFmtId="0" fontId="65" fillId="0" borderId="0" xfId="0" applyFont="1" applyAlignment="1" applyProtection="1">
      <alignment horizontal="right"/>
    </xf>
    <xf numFmtId="0" fontId="67" fillId="0" borderId="0" xfId="0" applyFont="1" applyFill="1" applyProtection="1"/>
    <xf numFmtId="0" fontId="9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69" fillId="0" borderId="0" xfId="0" applyFont="1" applyFill="1" applyProtection="1"/>
    <xf numFmtId="0" fontId="42" fillId="0" borderId="4" xfId="0" applyFont="1" applyBorder="1" applyAlignment="1" applyProtection="1"/>
    <xf numFmtId="0" fontId="62" fillId="0" borderId="0" xfId="0" applyFont="1" applyProtection="1"/>
    <xf numFmtId="0" fontId="64" fillId="0" borderId="0" xfId="0" applyFont="1" applyFill="1" applyProtection="1"/>
    <xf numFmtId="0" fontId="9" fillId="0" borderId="10" xfId="0" applyFont="1" applyBorder="1" applyProtection="1"/>
    <xf numFmtId="0" fontId="9" fillId="0" borderId="11" xfId="0" applyFont="1" applyBorder="1" applyProtection="1"/>
    <xf numFmtId="1" fontId="38" fillId="0" borderId="11" xfId="0" applyNumberFormat="1" applyFont="1" applyFill="1" applyBorder="1" applyAlignment="1" applyProtection="1">
      <alignment horizontal="center"/>
    </xf>
    <xf numFmtId="0" fontId="6" fillId="0" borderId="0" xfId="0" applyFont="1" applyProtection="1"/>
    <xf numFmtId="0" fontId="39" fillId="0" borderId="0" xfId="0" applyFont="1" applyFill="1" applyBorder="1" applyAlignment="1" applyProtection="1">
      <alignment horizontal="center"/>
    </xf>
    <xf numFmtId="1" fontId="37" fillId="0" borderId="0" xfId="0" applyNumberFormat="1" applyFont="1" applyFill="1" applyBorder="1" applyAlignment="1" applyProtection="1">
      <alignment horizontal="center"/>
    </xf>
    <xf numFmtId="212" fontId="7" fillId="0" borderId="15" xfId="0" applyNumberFormat="1" applyFont="1" applyBorder="1" applyAlignment="1" applyProtection="1">
      <alignment horizontal="right"/>
    </xf>
    <xf numFmtId="0" fontId="32" fillId="0" borderId="8" xfId="0" applyFont="1" applyBorder="1" applyAlignment="1" applyProtection="1">
      <alignment vertical="center" wrapText="1"/>
      <protection hidden="1"/>
    </xf>
    <xf numFmtId="1" fontId="2" fillId="7" borderId="0" xfId="0" applyNumberFormat="1" applyFont="1" applyFill="1" applyProtection="1">
      <protection hidden="1"/>
    </xf>
    <xf numFmtId="0" fontId="9" fillId="7" borderId="0" xfId="0" applyFont="1" applyFill="1" applyProtection="1"/>
    <xf numFmtId="203" fontId="2" fillId="7" borderId="0" xfId="0" applyNumberFormat="1" applyFont="1" applyFill="1" applyProtection="1">
      <protection hidden="1"/>
    </xf>
    <xf numFmtId="1" fontId="16" fillId="0" borderId="10" xfId="0" applyNumberFormat="1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 wrapText="1"/>
    </xf>
    <xf numFmtId="1" fontId="16" fillId="0" borderId="10" xfId="0" applyNumberFormat="1" applyFont="1" applyBorder="1" applyAlignment="1" applyProtection="1">
      <alignment horizontal="center" vertical="center"/>
    </xf>
    <xf numFmtId="0" fontId="32" fillId="0" borderId="10" xfId="0" applyFont="1" applyBorder="1" applyAlignment="1">
      <alignment horizontal="center" vertical="center" wrapText="1"/>
    </xf>
    <xf numFmtId="1" fontId="4" fillId="0" borderId="8" xfId="0" applyNumberFormat="1" applyFont="1" applyFill="1" applyBorder="1" applyAlignment="1" applyProtection="1">
      <alignment horizontal="center" vertical="center"/>
    </xf>
    <xf numFmtId="0" fontId="9" fillId="8" borderId="0" xfId="0" applyFont="1" applyFill="1" applyAlignment="1" applyProtection="1">
      <alignment horizontal="center"/>
    </xf>
    <xf numFmtId="0" fontId="4" fillId="0" borderId="0" xfId="0" applyFont="1" applyBorder="1" applyAlignment="1" applyProtection="1">
      <alignment horizontal="left" vertical="center"/>
      <protection hidden="1"/>
    </xf>
    <xf numFmtId="49" fontId="36" fillId="0" borderId="0" xfId="0" applyNumberFormat="1" applyFont="1" applyFill="1" applyBorder="1" applyAlignment="1" applyProtection="1">
      <alignment horizontal="right" vertical="center"/>
      <protection hidden="1"/>
    </xf>
    <xf numFmtId="0" fontId="2" fillId="0" borderId="0" xfId="0" applyFont="1" applyAlignment="1">
      <alignment horizontal="right" vertical="center"/>
    </xf>
    <xf numFmtId="1" fontId="16" fillId="0" borderId="10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right" vertical="center"/>
      <protection hidden="1"/>
    </xf>
    <xf numFmtId="0" fontId="2" fillId="0" borderId="0" xfId="0" applyFont="1" applyFill="1" applyBorder="1" applyAlignment="1" applyProtection="1">
      <alignment horizontal="left" vertical="center"/>
      <protection hidden="1"/>
    </xf>
    <xf numFmtId="0" fontId="2" fillId="0" borderId="3" xfId="0" applyFont="1" applyFill="1" applyBorder="1" applyAlignment="1" applyProtection="1">
      <alignment horizontal="left" vertical="center"/>
      <protection hidden="1"/>
    </xf>
    <xf numFmtId="49" fontId="9" fillId="0" borderId="0" xfId="0" applyNumberFormat="1" applyFont="1" applyBorder="1" applyAlignment="1" applyProtection="1">
      <alignment horizontal="right" vertical="center"/>
      <protection hidden="1"/>
    </xf>
    <xf numFmtId="0" fontId="9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/>
    <xf numFmtId="0" fontId="14" fillId="0" borderId="0" xfId="0" applyFont="1" applyBorder="1" applyAlignment="1" applyProtection="1">
      <alignment horizontal="right" vertical="center"/>
      <protection hidden="1"/>
    </xf>
    <xf numFmtId="0" fontId="14" fillId="0" borderId="0" xfId="0" applyFont="1" applyAlignment="1" applyProtection="1">
      <alignment horizontal="right"/>
    </xf>
    <xf numFmtId="0" fontId="15" fillId="6" borderId="0" xfId="0" applyFont="1" applyFill="1" applyProtection="1"/>
    <xf numFmtId="0" fontId="66" fillId="0" borderId="3" xfId="0" applyFont="1" applyBorder="1" applyProtection="1">
      <protection hidden="1"/>
    </xf>
    <xf numFmtId="0" fontId="18" fillId="0" borderId="2" xfId="0" applyFont="1" applyBorder="1" applyAlignment="1" applyProtection="1">
      <alignment horizontal="left" vertical="center"/>
      <protection hidden="1"/>
    </xf>
    <xf numFmtId="0" fontId="17" fillId="0" borderId="12" xfId="0" applyFont="1" applyBorder="1" applyAlignment="1" applyProtection="1">
      <alignment horizontal="center" vertical="center"/>
      <protection hidden="1"/>
    </xf>
    <xf numFmtId="0" fontId="2" fillId="0" borderId="22" xfId="0" applyFont="1" applyBorder="1" applyAlignment="1" applyProtection="1">
      <alignment vertical="center"/>
      <protection hidden="1"/>
    </xf>
    <xf numFmtId="0" fontId="16" fillId="0" borderId="23" xfId="0" applyFont="1" applyBorder="1" applyAlignment="1" applyProtection="1">
      <alignment horizontal="center" vertical="center"/>
      <protection hidden="1"/>
    </xf>
    <xf numFmtId="0" fontId="16" fillId="0" borderId="24" xfId="0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left" vertical="center"/>
      <protection hidden="1"/>
    </xf>
    <xf numFmtId="0" fontId="22" fillId="0" borderId="0" xfId="0" applyFont="1" applyBorder="1" applyAlignment="1" applyProtection="1">
      <alignment horizontal="left" vertical="center"/>
      <protection hidden="1"/>
    </xf>
    <xf numFmtId="0" fontId="21" fillId="10" borderId="14" xfId="0" applyFont="1" applyFill="1" applyBorder="1" applyAlignment="1" applyProtection="1">
      <alignment vertical="center"/>
      <protection hidden="1"/>
    </xf>
    <xf numFmtId="0" fontId="39" fillId="10" borderId="0" xfId="0" applyFont="1" applyFill="1" applyBorder="1" applyAlignment="1" applyProtection="1">
      <alignment horizontal="center"/>
      <protection hidden="1"/>
    </xf>
    <xf numFmtId="1" fontId="37" fillId="10" borderId="0" xfId="0" applyNumberFormat="1" applyFont="1" applyFill="1" applyBorder="1" applyAlignment="1" applyProtection="1">
      <alignment horizontal="center"/>
      <protection hidden="1"/>
    </xf>
    <xf numFmtId="0" fontId="2" fillId="10" borderId="0" xfId="0" applyFont="1" applyFill="1" applyBorder="1" applyProtection="1">
      <protection hidden="1"/>
    </xf>
    <xf numFmtId="1" fontId="21" fillId="10" borderId="14" xfId="0" applyNumberFormat="1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horizontal="justify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54" fillId="0" borderId="13" xfId="0" applyFont="1" applyBorder="1" applyProtection="1">
      <protection hidden="1"/>
    </xf>
    <xf numFmtId="1" fontId="2" fillId="10" borderId="0" xfId="0" applyNumberFormat="1" applyFont="1" applyFill="1" applyBorder="1" applyProtection="1">
      <protection hidden="1"/>
    </xf>
    <xf numFmtId="0" fontId="9" fillId="0" borderId="0" xfId="0" applyFont="1" applyAlignment="1" applyProtection="1">
      <alignment horizontal="left" vertical="center"/>
    </xf>
    <xf numFmtId="0" fontId="2" fillId="0" borderId="10" xfId="0" applyFont="1" applyBorder="1" applyProtection="1">
      <protection hidden="1"/>
    </xf>
    <xf numFmtId="0" fontId="2" fillId="0" borderId="11" xfId="0" applyFont="1" applyBorder="1" applyProtection="1">
      <protection hidden="1"/>
    </xf>
    <xf numFmtId="0" fontId="2" fillId="0" borderId="8" xfId="0" applyFont="1" applyBorder="1" applyProtection="1">
      <protection hidden="1"/>
    </xf>
    <xf numFmtId="0" fontId="4" fillId="10" borderId="14" xfId="0" applyFont="1" applyFill="1" applyBorder="1" applyAlignment="1" applyProtection="1">
      <alignment horizontal="center"/>
      <protection locked="0"/>
    </xf>
    <xf numFmtId="0" fontId="9" fillId="0" borderId="3" xfId="0" applyFont="1" applyBorder="1" applyProtection="1"/>
    <xf numFmtId="0" fontId="9" fillId="0" borderId="0" xfId="0" applyFont="1" applyBorder="1" applyProtection="1"/>
    <xf numFmtId="0" fontId="9" fillId="0" borderId="4" xfId="0" applyFont="1" applyBorder="1" applyProtection="1"/>
    <xf numFmtId="0" fontId="9" fillId="6" borderId="3" xfId="0" applyFont="1" applyFill="1" applyBorder="1" applyAlignment="1" applyProtection="1">
      <alignment wrapText="1"/>
    </xf>
    <xf numFmtId="0" fontId="9" fillId="6" borderId="0" xfId="0" applyFont="1" applyFill="1" applyBorder="1" applyAlignment="1" applyProtection="1">
      <alignment wrapText="1"/>
    </xf>
    <xf numFmtId="0" fontId="9" fillId="6" borderId="4" xfId="0" applyFont="1" applyFill="1" applyBorder="1" applyAlignment="1" applyProtection="1">
      <alignment wrapText="1"/>
    </xf>
    <xf numFmtId="0" fontId="9" fillId="8" borderId="3" xfId="0" applyFont="1" applyFill="1" applyBorder="1" applyAlignment="1" applyProtection="1">
      <alignment horizontal="center"/>
    </xf>
    <xf numFmtId="202" fontId="34" fillId="4" borderId="3" xfId="0" applyNumberFormat="1" applyFont="1" applyFill="1" applyBorder="1" applyProtection="1">
      <protection locked="0"/>
    </xf>
    <xf numFmtId="0" fontId="14" fillId="0" borderId="0" xfId="0" applyFont="1" applyBorder="1" applyProtection="1"/>
    <xf numFmtId="202" fontId="33" fillId="9" borderId="0" xfId="0" applyNumberFormat="1" applyFont="1" applyFill="1" applyBorder="1" applyProtection="1"/>
    <xf numFmtId="2" fontId="14" fillId="0" borderId="0" xfId="0" applyNumberFormat="1" applyFont="1" applyBorder="1" applyProtection="1"/>
    <xf numFmtId="1" fontId="14" fillId="0" borderId="4" xfId="0" applyNumberFormat="1" applyFont="1" applyBorder="1" applyProtection="1"/>
    <xf numFmtId="1" fontId="13" fillId="7" borderId="3" xfId="0" applyNumberFormat="1" applyFont="1" applyFill="1" applyBorder="1" applyProtection="1"/>
    <xf numFmtId="1" fontId="13" fillId="0" borderId="4" xfId="0" applyNumberFormat="1" applyFont="1" applyBorder="1" applyProtection="1"/>
    <xf numFmtId="1" fontId="13" fillId="0" borderId="3" xfId="0" applyNumberFormat="1" applyFont="1" applyBorder="1" applyProtection="1"/>
    <xf numFmtId="0" fontId="14" fillId="0" borderId="4" xfId="0" applyFont="1" applyBorder="1" applyProtection="1"/>
    <xf numFmtId="0" fontId="14" fillId="0" borderId="3" xfId="0" applyFont="1" applyBorder="1" applyProtection="1"/>
    <xf numFmtId="2" fontId="14" fillId="0" borderId="3" xfId="0" applyNumberFormat="1" applyFont="1" applyBorder="1" applyProtection="1"/>
    <xf numFmtId="1" fontId="13" fillId="7" borderId="5" xfId="0" applyNumberFormat="1" applyFont="1" applyFill="1" applyBorder="1" applyProtection="1"/>
    <xf numFmtId="202" fontId="34" fillId="4" borderId="0" xfId="0" applyNumberFormat="1" applyFont="1" applyFill="1" applyBorder="1" applyProtection="1">
      <protection locked="0"/>
    </xf>
    <xf numFmtId="202" fontId="72" fillId="4" borderId="0" xfId="0" applyNumberFormat="1" applyFont="1" applyFill="1" applyBorder="1" applyProtection="1">
      <protection locked="0"/>
    </xf>
    <xf numFmtId="0" fontId="9" fillId="6" borderId="7" xfId="0" applyFont="1" applyFill="1" applyBorder="1" applyAlignment="1" applyProtection="1">
      <alignment wrapText="1"/>
    </xf>
    <xf numFmtId="0" fontId="9" fillId="6" borderId="2" xfId="0" applyFont="1" applyFill="1" applyBorder="1" applyAlignment="1" applyProtection="1">
      <alignment wrapText="1"/>
    </xf>
    <xf numFmtId="0" fontId="9" fillId="6" borderId="1" xfId="0" applyFont="1" applyFill="1" applyBorder="1" applyAlignment="1" applyProtection="1">
      <alignment wrapText="1"/>
    </xf>
    <xf numFmtId="0" fontId="9" fillId="7" borderId="0" xfId="0" applyFont="1" applyFill="1" applyBorder="1" applyProtection="1"/>
    <xf numFmtId="0" fontId="9" fillId="7" borderId="0" xfId="0" applyFont="1" applyFill="1" applyBorder="1" applyAlignment="1" applyProtection="1">
      <alignment horizontal="right"/>
    </xf>
    <xf numFmtId="0" fontId="13" fillId="7" borderId="4" xfId="0" applyFont="1" applyFill="1" applyBorder="1" applyProtection="1"/>
    <xf numFmtId="1" fontId="13" fillId="7" borderId="4" xfId="0" applyNumberFormat="1" applyFont="1" applyFill="1" applyBorder="1" applyProtection="1"/>
    <xf numFmtId="0" fontId="9" fillId="7" borderId="6" xfId="0" applyFont="1" applyFill="1" applyBorder="1" applyProtection="1"/>
    <xf numFmtId="0" fontId="9" fillId="7" borderId="6" xfId="0" applyFont="1" applyFill="1" applyBorder="1" applyAlignment="1" applyProtection="1">
      <alignment horizontal="right"/>
    </xf>
    <xf numFmtId="0" fontId="13" fillId="7" borderId="13" xfId="0" applyFont="1" applyFill="1" applyBorder="1" applyProtection="1"/>
    <xf numFmtId="0" fontId="9" fillId="7" borderId="3" xfId="0" applyFont="1" applyFill="1" applyBorder="1" applyProtection="1"/>
    <xf numFmtId="0" fontId="9" fillId="7" borderId="5" xfId="0" applyFont="1" applyFill="1" applyBorder="1" applyProtection="1"/>
    <xf numFmtId="202" fontId="34" fillId="0" borderId="0" xfId="0" applyNumberFormat="1" applyFont="1" applyFill="1" applyBorder="1" applyProtection="1">
      <protection locked="0"/>
    </xf>
    <xf numFmtId="0" fontId="9" fillId="0" borderId="0" xfId="0" applyFont="1" applyFill="1" applyBorder="1" applyProtection="1"/>
    <xf numFmtId="0" fontId="9" fillId="0" borderId="0" xfId="0" applyFont="1" applyFill="1" applyAlignment="1" applyProtection="1">
      <alignment wrapText="1"/>
    </xf>
    <xf numFmtId="0" fontId="9" fillId="0" borderId="0" xfId="0" applyFont="1" applyFill="1" applyBorder="1" applyAlignment="1" applyProtection="1">
      <alignment wrapText="1"/>
    </xf>
    <xf numFmtId="1" fontId="13" fillId="7" borderId="13" xfId="0" applyNumberFormat="1" applyFont="1" applyFill="1" applyBorder="1" applyProtection="1"/>
    <xf numFmtId="0" fontId="20" fillId="0" borderId="0" xfId="0" applyFont="1" applyFill="1" applyBorder="1" applyAlignment="1" applyProtection="1">
      <alignment horizontal="right"/>
      <protection hidden="1"/>
    </xf>
    <xf numFmtId="0" fontId="74" fillId="0" borderId="0" xfId="0" applyFont="1" applyAlignment="1">
      <alignment horizontal="right"/>
    </xf>
    <xf numFmtId="0" fontId="75" fillId="0" borderId="25" xfId="0" applyFont="1" applyBorder="1"/>
    <xf numFmtId="0" fontId="75" fillId="0" borderId="26" xfId="0" applyFont="1" applyBorder="1"/>
    <xf numFmtId="1" fontId="20" fillId="0" borderId="0" xfId="0" applyNumberFormat="1" applyFont="1" applyFill="1" applyBorder="1" applyAlignment="1" applyProtection="1">
      <alignment horizontal="center"/>
      <protection hidden="1"/>
    </xf>
    <xf numFmtId="0" fontId="18" fillId="0" borderId="0" xfId="0" applyFont="1" applyAlignment="1">
      <alignment vertical="center"/>
    </xf>
    <xf numFmtId="0" fontId="18" fillId="0" borderId="0" xfId="0" applyFont="1"/>
    <xf numFmtId="218" fontId="76" fillId="0" borderId="0" xfId="0" applyNumberFormat="1" applyFont="1" applyAlignment="1">
      <alignment vertical="center"/>
    </xf>
    <xf numFmtId="0" fontId="76" fillId="0" borderId="0" xfId="0" applyFont="1" applyAlignment="1">
      <alignment vertical="center"/>
    </xf>
    <xf numFmtId="220" fontId="76" fillId="0" borderId="0" xfId="0" applyNumberFormat="1" applyFont="1"/>
    <xf numFmtId="220" fontId="76" fillId="0" borderId="0" xfId="0" applyNumberFormat="1" applyFont="1" applyAlignment="1">
      <alignment vertical="center"/>
    </xf>
    <xf numFmtId="0" fontId="77" fillId="0" borderId="27" xfId="0" applyFont="1" applyBorder="1"/>
    <xf numFmtId="220" fontId="77" fillId="0" borderId="12" xfId="0" applyNumberFormat="1" applyFont="1" applyBorder="1"/>
    <xf numFmtId="0" fontId="77" fillId="11" borderId="27" xfId="0" applyFont="1" applyFill="1" applyBorder="1"/>
    <xf numFmtId="201" fontId="77" fillId="0" borderId="12" xfId="0" applyNumberFormat="1" applyFont="1" applyBorder="1"/>
    <xf numFmtId="0" fontId="77" fillId="11" borderId="28" xfId="0" applyFont="1" applyFill="1" applyBorder="1"/>
    <xf numFmtId="201" fontId="77" fillId="0" borderId="29" xfId="0" applyNumberFormat="1" applyFont="1" applyBorder="1"/>
    <xf numFmtId="201" fontId="47" fillId="4" borderId="14" xfId="0" applyNumberFormat="1" applyFont="1" applyFill="1" applyBorder="1" applyAlignment="1" applyProtection="1">
      <alignment horizontal="center"/>
      <protection locked="0"/>
    </xf>
    <xf numFmtId="0" fontId="78" fillId="4" borderId="0" xfId="0" applyFont="1" applyFill="1" applyProtection="1"/>
    <xf numFmtId="0" fontId="20" fillId="0" borderId="6" xfId="0" applyFont="1" applyFill="1" applyBorder="1" applyAlignment="1" applyProtection="1">
      <alignment horizontal="right"/>
      <protection hidden="1"/>
    </xf>
    <xf numFmtId="0" fontId="9" fillId="0" borderId="0" xfId="0" applyFont="1" applyAlignment="1" applyProtection="1">
      <alignment horizontal="justify" wrapText="1"/>
    </xf>
    <xf numFmtId="0" fontId="0" fillId="0" borderId="0" xfId="0" applyAlignment="1" applyProtection="1"/>
    <xf numFmtId="0" fontId="79" fillId="12" borderId="7" xfId="0" applyFont="1" applyFill="1" applyBorder="1" applyAlignment="1" applyProtection="1"/>
    <xf numFmtId="0" fontId="79" fillId="12" borderId="2" xfId="0" applyFont="1" applyFill="1" applyBorder="1" applyAlignment="1"/>
    <xf numFmtId="0" fontId="79" fillId="12" borderId="1" xfId="0" applyFont="1" applyFill="1" applyBorder="1" applyAlignment="1"/>
    <xf numFmtId="0" fontId="25" fillId="0" borderId="3" xfId="0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25" fillId="0" borderId="4" xfId="0" applyFont="1" applyFill="1" applyBorder="1" applyAlignment="1" applyProtection="1">
      <alignment horizontal="center"/>
      <protection hidden="1"/>
    </xf>
    <xf numFmtId="222" fontId="47" fillId="4" borderId="0" xfId="0" applyNumberFormat="1" applyFont="1" applyFill="1" applyBorder="1" applyAlignment="1" applyProtection="1">
      <alignment horizontal="right" wrapText="1"/>
      <protection locked="0"/>
    </xf>
    <xf numFmtId="222" fontId="9" fillId="0" borderId="0" xfId="0" applyNumberFormat="1" applyFont="1" applyAlignment="1" applyProtection="1">
      <alignment horizontal="right" wrapText="1"/>
      <protection locked="0"/>
    </xf>
    <xf numFmtId="0" fontId="11" fillId="0" borderId="2" xfId="0" applyFont="1" applyBorder="1" applyAlignment="1" applyProtection="1">
      <alignment horizontal="center"/>
      <protection hidden="1"/>
    </xf>
    <xf numFmtId="202" fontId="47" fillId="4" borderId="0" xfId="0" applyNumberFormat="1" applyFont="1" applyFill="1" applyBorder="1" applyAlignment="1" applyProtection="1">
      <alignment horizontal="right" wrapText="1"/>
      <protection locked="0"/>
    </xf>
    <xf numFmtId="0" fontId="9" fillId="0" borderId="0" xfId="0" applyFont="1" applyBorder="1" applyAlignment="1" applyProtection="1">
      <alignment horizontal="right" wrapText="1"/>
      <protection locked="0"/>
    </xf>
    <xf numFmtId="1" fontId="47" fillId="4" borderId="0" xfId="0" applyNumberFormat="1" applyFont="1" applyFill="1" applyBorder="1" applyAlignment="1" applyProtection="1">
      <alignment horizontal="right" wrapText="1"/>
      <protection locked="0"/>
    </xf>
    <xf numFmtId="1" fontId="9" fillId="0" borderId="0" xfId="0" applyNumberFormat="1" applyFont="1" applyBorder="1" applyAlignment="1" applyProtection="1">
      <alignment horizontal="right" wrapText="1"/>
      <protection locked="0"/>
    </xf>
    <xf numFmtId="0" fontId="25" fillId="0" borderId="3" xfId="0" applyFont="1" applyBorder="1" applyAlignment="1" applyProtection="1">
      <alignment horizontal="center" wrapText="1"/>
      <protection hidden="1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 wrapText="1"/>
    </xf>
    <xf numFmtId="0" fontId="25" fillId="0" borderId="3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 applyFill="1" applyBorder="1" applyAlignment="1" applyProtection="1">
      <alignment horizontal="center" vertical="center" wrapText="1"/>
      <protection hidden="1"/>
    </xf>
    <xf numFmtId="0" fontId="25" fillId="0" borderId="4" xfId="0" applyFont="1" applyFill="1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4" xfId="0" applyBorder="1" applyAlignment="1">
      <alignment wrapText="1"/>
    </xf>
    <xf numFmtId="0" fontId="2" fillId="0" borderId="0" xfId="0" applyFont="1" applyFill="1" applyBorder="1" applyAlignment="1" applyProtection="1">
      <alignment wrapText="1"/>
      <protection hidden="1"/>
    </xf>
    <xf numFmtId="0" fontId="9" fillId="0" borderId="0" xfId="0" applyFont="1" applyAlignment="1" applyProtection="1">
      <alignment wrapText="1"/>
    </xf>
    <xf numFmtId="0" fontId="14" fillId="0" borderId="14" xfId="0" applyFont="1" applyBorder="1" applyAlignment="1" applyProtection="1">
      <alignment vertical="top" wrapText="1"/>
      <protection hidden="1"/>
    </xf>
    <xf numFmtId="0" fontId="14" fillId="0" borderId="14" xfId="0" applyFont="1" applyBorder="1" applyAlignment="1" applyProtection="1">
      <alignment vertical="top" wrapText="1"/>
    </xf>
    <xf numFmtId="0" fontId="14" fillId="0" borderId="14" xfId="0" applyFont="1" applyBorder="1" applyAlignment="1" applyProtection="1">
      <alignment horizontal="justify" vertical="top" wrapText="1"/>
      <protection hidden="1"/>
    </xf>
    <xf numFmtId="0" fontId="14" fillId="0" borderId="14" xfId="0" applyFont="1" applyBorder="1" applyAlignment="1" applyProtection="1">
      <alignment horizontal="justify" vertical="top" wrapText="1"/>
    </xf>
    <xf numFmtId="0" fontId="9" fillId="0" borderId="0" xfId="0" applyFont="1" applyFill="1" applyBorder="1" applyAlignment="1" applyProtection="1">
      <alignment horizontal="left" vertical="center"/>
      <protection hidden="1"/>
    </xf>
    <xf numFmtId="0" fontId="7" fillId="0" borderId="0" xfId="0" applyFont="1" applyFill="1" applyBorder="1" applyAlignment="1" applyProtection="1">
      <alignment horizontal="right"/>
      <protection hidden="1"/>
    </xf>
    <xf numFmtId="49" fontId="2" fillId="0" borderId="3" xfId="0" applyNumberFormat="1" applyFont="1" applyFill="1" applyBorder="1" applyAlignment="1" applyProtection="1">
      <alignment horizontal="left"/>
      <protection hidden="1"/>
    </xf>
    <xf numFmtId="49" fontId="2" fillId="0" borderId="0" xfId="0" applyNumberFormat="1" applyFont="1" applyFill="1" applyBorder="1" applyAlignment="1" applyProtection="1">
      <alignment horizontal="left"/>
      <protection hidden="1"/>
    </xf>
    <xf numFmtId="0" fontId="70" fillId="0" borderId="6" xfId="0" applyFont="1" applyFill="1" applyBorder="1" applyAlignment="1" applyProtection="1">
      <alignment horizontal="right"/>
      <protection hidden="1"/>
    </xf>
    <xf numFmtId="0" fontId="70" fillId="0" borderId="13" xfId="0" applyFont="1" applyFill="1" applyBorder="1" applyAlignment="1" applyProtection="1">
      <alignment horizontal="right"/>
      <protection hidden="1"/>
    </xf>
    <xf numFmtId="49" fontId="2" fillId="0" borderId="5" xfId="0" applyNumberFormat="1" applyFont="1" applyFill="1" applyBorder="1" applyAlignment="1" applyProtection="1">
      <alignment horizontal="left"/>
      <protection hidden="1"/>
    </xf>
    <xf numFmtId="49" fontId="2" fillId="0" borderId="6" xfId="0" applyNumberFormat="1" applyFont="1" applyFill="1" applyBorder="1" applyAlignment="1" applyProtection="1">
      <alignment horizontal="left"/>
      <protection hidden="1"/>
    </xf>
    <xf numFmtId="49" fontId="2" fillId="0" borderId="13" xfId="0" applyNumberFormat="1" applyFont="1" applyFill="1" applyBorder="1" applyAlignment="1" applyProtection="1">
      <alignment horizontal="left"/>
      <protection hidden="1"/>
    </xf>
    <xf numFmtId="0" fontId="43" fillId="0" borderId="7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/>
    <xf numFmtId="0" fontId="9" fillId="0" borderId="3" xfId="0" applyFont="1" applyBorder="1" applyAlignment="1" applyProtection="1"/>
    <xf numFmtId="0" fontId="9" fillId="0" borderId="4" xfId="0" applyFont="1" applyBorder="1" applyAlignment="1" applyProtection="1"/>
    <xf numFmtId="0" fontId="9" fillId="0" borderId="5" xfId="0" applyFont="1" applyBorder="1" applyAlignment="1" applyProtection="1"/>
    <xf numFmtId="0" fontId="9" fillId="0" borderId="13" xfId="0" applyFont="1" applyBorder="1" applyAlignment="1" applyProtection="1"/>
    <xf numFmtId="1" fontId="39" fillId="10" borderId="3" xfId="0" applyNumberFormat="1" applyFont="1" applyFill="1" applyBorder="1" applyAlignment="1" applyProtection="1">
      <alignment horizontal="left"/>
      <protection hidden="1"/>
    </xf>
    <xf numFmtId="0" fontId="0" fillId="10" borderId="0" xfId="0" applyFill="1" applyBorder="1" applyAlignment="1" applyProtection="1"/>
    <xf numFmtId="1" fontId="39" fillId="0" borderId="3" xfId="0" applyNumberFormat="1" applyFont="1" applyFill="1" applyBorder="1" applyAlignment="1" applyProtection="1">
      <alignment horizontal="left"/>
      <protection hidden="1"/>
    </xf>
    <xf numFmtId="0" fontId="0" fillId="0" borderId="0" xfId="0" applyBorder="1" applyAlignment="1" applyProtection="1"/>
    <xf numFmtId="0" fontId="9" fillId="0" borderId="7" xfId="0" applyFont="1" applyBorder="1" applyAlignment="1" applyProtection="1">
      <alignment wrapText="1"/>
      <protection hidden="1"/>
    </xf>
    <xf numFmtId="0" fontId="0" fillId="0" borderId="1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5" xfId="0" applyBorder="1" applyAlignment="1" applyProtection="1">
      <alignment wrapText="1"/>
    </xf>
    <xf numFmtId="0" fontId="0" fillId="0" borderId="13" xfId="0" applyBorder="1" applyAlignment="1" applyProtection="1">
      <alignment wrapText="1"/>
    </xf>
    <xf numFmtId="1" fontId="39" fillId="0" borderId="14" xfId="0" applyNumberFormat="1" applyFont="1" applyFill="1" applyBorder="1" applyAlignment="1" applyProtection="1">
      <alignment horizontal="left" vertical="top" textRotation="180" wrapText="1"/>
      <protection hidden="1"/>
    </xf>
    <xf numFmtId="0" fontId="55" fillId="0" borderId="14" xfId="0" applyFont="1" applyBorder="1" applyAlignment="1" applyProtection="1">
      <alignment horizontal="left" vertical="top" textRotation="180" wrapText="1"/>
    </xf>
    <xf numFmtId="1" fontId="39" fillId="0" borderId="5" xfId="0" applyNumberFormat="1" applyFont="1" applyFill="1" applyBorder="1" applyAlignment="1" applyProtection="1">
      <alignment horizontal="left"/>
      <protection hidden="1"/>
    </xf>
    <xf numFmtId="0" fontId="0" fillId="0" borderId="6" xfId="0" applyBorder="1" applyAlignment="1" applyProtection="1"/>
    <xf numFmtId="0" fontId="40" fillId="0" borderId="30" xfId="0" applyFont="1" applyFill="1" applyBorder="1" applyAlignment="1" applyProtection="1">
      <alignment horizontal="right"/>
      <protection hidden="1"/>
    </xf>
    <xf numFmtId="0" fontId="13" fillId="0" borderId="2" xfId="0" applyFont="1" applyBorder="1" applyAlignment="1" applyProtection="1">
      <alignment horizontal="left" wrapText="1"/>
      <protection hidden="1"/>
    </xf>
    <xf numFmtId="0" fontId="9" fillId="0" borderId="2" xfId="0" applyFont="1" applyBorder="1" applyAlignment="1" applyProtection="1">
      <alignment wrapText="1"/>
    </xf>
    <xf numFmtId="0" fontId="0" fillId="0" borderId="2" xfId="0" applyBorder="1" applyAlignment="1" applyProtection="1">
      <alignment wrapText="1"/>
    </xf>
    <xf numFmtId="0" fontId="9" fillId="0" borderId="2" xfId="0" applyFont="1" applyBorder="1" applyAlignment="1" applyProtection="1">
      <alignment wrapText="1"/>
      <protection hidden="1"/>
    </xf>
    <xf numFmtId="0" fontId="0" fillId="0" borderId="0" xfId="0" applyBorder="1" applyAlignment="1" applyProtection="1">
      <alignment wrapText="1"/>
    </xf>
    <xf numFmtId="0" fontId="0" fillId="0" borderId="6" xfId="0" applyBorder="1" applyAlignment="1" applyProtection="1">
      <alignment wrapText="1"/>
    </xf>
    <xf numFmtId="0" fontId="14" fillId="0" borderId="0" xfId="0" applyFont="1" applyFill="1" applyBorder="1" applyAlignment="1" applyProtection="1">
      <alignment horizontal="left" wrapText="1"/>
      <protection hidden="1"/>
    </xf>
    <xf numFmtId="0" fontId="9" fillId="0" borderId="0" xfId="0" applyFont="1" applyBorder="1" applyAlignment="1" applyProtection="1">
      <alignment horizontal="left" wrapText="1"/>
    </xf>
    <xf numFmtId="0" fontId="0" fillId="0" borderId="0" xfId="0" applyAlignment="1" applyProtection="1">
      <alignment wrapText="1"/>
    </xf>
    <xf numFmtId="0" fontId="14" fillId="0" borderId="0" xfId="0" applyFont="1" applyBorder="1" applyAlignment="1" applyProtection="1">
      <alignment horizontal="left" wrapText="1"/>
      <protection hidden="1"/>
    </xf>
    <xf numFmtId="0" fontId="9" fillId="0" borderId="0" xfId="0" applyFont="1" applyBorder="1" applyAlignment="1" applyProtection="1">
      <alignment wrapText="1"/>
    </xf>
    <xf numFmtId="0" fontId="14" fillId="0" borderId="0" xfId="0" applyFont="1" applyBorder="1" applyAlignment="1" applyProtection="1">
      <alignment wrapText="1"/>
      <protection hidden="1"/>
    </xf>
    <xf numFmtId="1" fontId="39" fillId="0" borderId="7" xfId="0" applyNumberFormat="1" applyFont="1" applyFill="1" applyBorder="1" applyAlignment="1" applyProtection="1">
      <alignment horizontal="left"/>
      <protection hidden="1"/>
    </xf>
    <xf numFmtId="0" fontId="0" fillId="0" borderId="2" xfId="0" applyBorder="1" applyAlignment="1" applyProtection="1"/>
    <xf numFmtId="1" fontId="13" fillId="0" borderId="18" xfId="0" applyNumberFormat="1" applyFont="1" applyFill="1" applyBorder="1" applyAlignment="1" applyProtection="1">
      <alignment horizontal="left" vertical="top" textRotation="180" wrapText="1"/>
      <protection hidden="1"/>
    </xf>
    <xf numFmtId="0" fontId="53" fillId="0" borderId="9" xfId="0" applyFont="1" applyBorder="1" applyAlignment="1" applyProtection="1">
      <alignment horizontal="left" vertical="top" textRotation="180" wrapText="1"/>
    </xf>
    <xf numFmtId="0" fontId="53" fillId="0" borderId="32" xfId="0" applyFont="1" applyBorder="1" applyAlignment="1" applyProtection="1">
      <alignment horizontal="left" vertical="top" textRotation="180" wrapText="1"/>
    </xf>
    <xf numFmtId="0" fontId="16" fillId="0" borderId="0" xfId="0" applyFont="1" applyBorder="1" applyAlignment="1" applyProtection="1">
      <alignment horizontal="left"/>
      <protection hidden="1"/>
    </xf>
    <xf numFmtId="0" fontId="14" fillId="0" borderId="0" xfId="0" applyFont="1" applyFill="1" applyBorder="1" applyAlignment="1" applyProtection="1">
      <alignment horizontal="left" vertical="center"/>
      <protection hidden="1"/>
    </xf>
    <xf numFmtId="0" fontId="11" fillId="0" borderId="15" xfId="0" applyFont="1" applyBorder="1" applyAlignment="1" applyProtection="1">
      <alignment horizontal="right"/>
    </xf>
    <xf numFmtId="0" fontId="14" fillId="0" borderId="0" xfId="0" applyFont="1" applyBorder="1" applyAlignment="1" applyProtection="1">
      <alignment horizontal="left"/>
      <protection hidden="1"/>
    </xf>
    <xf numFmtId="0" fontId="7" fillId="0" borderId="0" xfId="0" applyFont="1" applyBorder="1" applyAlignment="1" applyProtection="1">
      <alignment horizontal="left"/>
      <protection hidden="1"/>
    </xf>
    <xf numFmtId="0" fontId="11" fillId="0" borderId="15" xfId="0" applyFont="1" applyFill="1" applyBorder="1" applyAlignment="1" applyProtection="1">
      <alignment horizontal="right"/>
    </xf>
    <xf numFmtId="0" fontId="15" fillId="0" borderId="0" xfId="0" applyFont="1" applyFill="1" applyBorder="1" applyAlignment="1" applyProtection="1">
      <alignment horizontal="left"/>
      <protection hidden="1"/>
    </xf>
    <xf numFmtId="0" fontId="9" fillId="0" borderId="0" xfId="0" applyFont="1" applyFill="1" applyBorder="1" applyAlignment="1" applyProtection="1">
      <alignment horizontal="left" wrapText="1"/>
      <protection hidden="1"/>
    </xf>
    <xf numFmtId="0" fontId="9" fillId="0" borderId="15" xfId="0" applyFont="1" applyFill="1" applyBorder="1" applyAlignment="1" applyProtection="1"/>
    <xf numFmtId="0" fontId="11" fillId="0" borderId="30" xfId="0" applyFont="1" applyFill="1" applyBorder="1" applyAlignment="1" applyProtection="1">
      <alignment horizontal="right"/>
    </xf>
    <xf numFmtId="0" fontId="0" fillId="0" borderId="30" xfId="0" applyBorder="1" applyAlignment="1" applyProtection="1">
      <alignment horizontal="right"/>
    </xf>
    <xf numFmtId="0" fontId="9" fillId="0" borderId="0" xfId="0" applyFont="1" applyAlignment="1" applyProtection="1">
      <protection hidden="1"/>
    </xf>
    <xf numFmtId="0" fontId="16" fillId="0" borderId="7" xfId="0" applyFont="1" applyFill="1" applyBorder="1" applyAlignment="1" applyProtection="1">
      <alignment horizontal="center" vertical="top"/>
      <protection hidden="1"/>
    </xf>
    <xf numFmtId="0" fontId="9" fillId="0" borderId="1" xfId="0" applyFont="1" applyFill="1" applyBorder="1" applyAlignment="1" applyProtection="1">
      <alignment horizontal="center" vertical="top"/>
      <protection hidden="1"/>
    </xf>
    <xf numFmtId="0" fontId="9" fillId="0" borderId="3" xfId="0" applyFont="1" applyFill="1" applyBorder="1" applyAlignment="1" applyProtection="1">
      <alignment horizontal="center" vertical="top"/>
      <protection hidden="1"/>
    </xf>
    <xf numFmtId="0" fontId="9" fillId="0" borderId="4" xfId="0" applyFont="1" applyFill="1" applyBorder="1" applyAlignment="1" applyProtection="1">
      <alignment horizontal="center" vertical="top"/>
      <protection hidden="1"/>
    </xf>
    <xf numFmtId="0" fontId="13" fillId="0" borderId="10" xfId="0" applyFont="1" applyBorder="1" applyAlignment="1" applyProtection="1">
      <alignment horizontal="right" wrapText="1"/>
    </xf>
    <xf numFmtId="0" fontId="0" fillId="0" borderId="11" xfId="0" applyBorder="1" applyAlignment="1" applyProtection="1">
      <alignment horizontal="right" wrapText="1"/>
    </xf>
    <xf numFmtId="0" fontId="0" fillId="0" borderId="8" xfId="0" applyBorder="1" applyAlignment="1" applyProtection="1">
      <alignment horizontal="right" wrapText="1"/>
    </xf>
    <xf numFmtId="1" fontId="13" fillId="0" borderId="14" xfId="0" applyNumberFormat="1" applyFont="1" applyFill="1" applyBorder="1" applyAlignment="1" applyProtection="1">
      <alignment horizontal="left" vertical="top" textRotation="180" wrapText="1"/>
    </xf>
    <xf numFmtId="0" fontId="53" fillId="0" borderId="14" xfId="0" applyFont="1" applyBorder="1" applyAlignment="1" applyProtection="1">
      <alignment horizontal="left" vertical="top" textRotation="180" wrapText="1"/>
    </xf>
    <xf numFmtId="0" fontId="11" fillId="0" borderId="31" xfId="0" applyFont="1" applyFill="1" applyBorder="1" applyAlignment="1" applyProtection="1">
      <alignment horizontal="right"/>
    </xf>
    <xf numFmtId="0" fontId="29" fillId="0" borderId="31" xfId="0" applyFont="1" applyFill="1" applyBorder="1" applyAlignment="1" applyProtection="1">
      <alignment horizontal="right"/>
    </xf>
    <xf numFmtId="0" fontId="9" fillId="0" borderId="7" xfId="0" applyFont="1" applyFill="1" applyBorder="1" applyAlignment="1" applyProtection="1">
      <alignment horizontal="left" wrapText="1"/>
      <protection hidden="1"/>
    </xf>
    <xf numFmtId="0" fontId="50" fillId="0" borderId="1" xfId="0" applyFont="1" applyBorder="1" applyAlignment="1" applyProtection="1">
      <alignment wrapText="1"/>
    </xf>
    <xf numFmtId="0" fontId="50" fillId="0" borderId="3" xfId="0" applyFont="1" applyBorder="1" applyAlignment="1" applyProtection="1">
      <alignment wrapText="1"/>
    </xf>
    <xf numFmtId="0" fontId="50" fillId="0" borderId="4" xfId="0" applyFont="1" applyBorder="1" applyAlignment="1" applyProtection="1">
      <alignment wrapText="1"/>
    </xf>
    <xf numFmtId="0" fontId="50" fillId="0" borderId="5" xfId="0" applyFont="1" applyBorder="1" applyAlignment="1" applyProtection="1">
      <alignment wrapText="1"/>
    </xf>
    <xf numFmtId="0" fontId="50" fillId="0" borderId="13" xfId="0" applyFont="1" applyBorder="1" applyAlignment="1" applyProtection="1">
      <alignment wrapText="1"/>
    </xf>
    <xf numFmtId="1" fontId="39" fillId="0" borderId="18" xfId="0" applyNumberFormat="1" applyFont="1" applyFill="1" applyBorder="1" applyAlignment="1" applyProtection="1">
      <alignment horizontal="left" vertical="top" textRotation="180" wrapText="1"/>
      <protection hidden="1"/>
    </xf>
    <xf numFmtId="1" fontId="39" fillId="0" borderId="9" xfId="0" applyNumberFormat="1" applyFont="1" applyFill="1" applyBorder="1" applyAlignment="1" applyProtection="1">
      <alignment horizontal="left" vertical="top" textRotation="180" wrapText="1"/>
      <protection hidden="1"/>
    </xf>
    <xf numFmtId="0" fontId="0" fillId="0" borderId="32" xfId="0" applyBorder="1" applyAlignment="1" applyProtection="1">
      <alignment horizontal="left" vertical="top" textRotation="180" wrapText="1"/>
    </xf>
    <xf numFmtId="222" fontId="11" fillId="0" borderId="15" xfId="0" applyNumberFormat="1" applyFont="1" applyFill="1" applyBorder="1" applyAlignment="1" applyProtection="1">
      <alignment horizontal="right"/>
    </xf>
    <xf numFmtId="0" fontId="15" fillId="0" borderId="0" xfId="0" applyFont="1" applyFill="1" applyBorder="1" applyAlignment="1" applyProtection="1">
      <protection hidden="1"/>
    </xf>
    <xf numFmtId="0" fontId="29" fillId="0" borderId="0" xfId="0" applyFont="1" applyFill="1" applyBorder="1" applyAlignment="1" applyProtection="1">
      <alignment horizontal="right"/>
    </xf>
    <xf numFmtId="0" fontId="50" fillId="0" borderId="0" xfId="0" applyFont="1" applyAlignment="1" applyProtection="1">
      <alignment horizontal="right"/>
    </xf>
    <xf numFmtId="0" fontId="7" fillId="0" borderId="0" xfId="0" applyFont="1" applyFill="1" applyBorder="1" applyAlignment="1" applyProtection="1">
      <alignment horizontal="left"/>
      <protection hidden="1"/>
    </xf>
    <xf numFmtId="0" fontId="40" fillId="0" borderId="15" xfId="0" applyFont="1" applyFill="1" applyBorder="1" applyAlignment="1" applyProtection="1">
      <alignment horizontal="right"/>
      <protection hidden="1"/>
    </xf>
    <xf numFmtId="0" fontId="0" fillId="0" borderId="0" xfId="0" applyAlignment="1" applyProtection="1">
      <alignment horizontal="left"/>
    </xf>
    <xf numFmtId="0" fontId="63" fillId="0" borderId="0" xfId="0" applyFont="1" applyBorder="1" applyAlignment="1" applyProtection="1">
      <alignment horizontal="left" vertical="center"/>
      <protection hidden="1"/>
    </xf>
    <xf numFmtId="1" fontId="16" fillId="0" borderId="16" xfId="0" applyNumberFormat="1" applyFont="1" applyBorder="1" applyAlignment="1">
      <alignment horizontal="right" vertical="center"/>
    </xf>
    <xf numFmtId="0" fontId="53" fillId="0" borderId="34" xfId="0" applyFont="1" applyBorder="1" applyAlignment="1">
      <alignment horizontal="right" vertical="center"/>
    </xf>
    <xf numFmtId="222" fontId="16" fillId="0" borderId="25" xfId="0" applyNumberFormat="1" applyFont="1" applyBorder="1" applyAlignment="1" applyProtection="1">
      <alignment horizontal="right" vertical="center"/>
    </xf>
    <xf numFmtId="222" fontId="0" fillId="0" borderId="21" xfId="0" applyNumberFormat="1" applyBorder="1" applyAlignment="1" applyProtection="1">
      <alignment vertical="center"/>
    </xf>
    <xf numFmtId="222" fontId="0" fillId="0" borderId="26" xfId="0" applyNumberFormat="1" applyBorder="1" applyAlignment="1" applyProtection="1">
      <alignment vertical="center"/>
    </xf>
    <xf numFmtId="0" fontId="18" fillId="0" borderId="10" xfId="0" applyFont="1" applyFill="1" applyBorder="1" applyAlignment="1" applyProtection="1">
      <alignment horizontal="center" vertical="center"/>
      <protection hidden="1"/>
    </xf>
    <xf numFmtId="0" fontId="18" fillId="0" borderId="8" xfId="0" applyFont="1" applyFill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18" fillId="0" borderId="10" xfId="0" applyFont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vertical="center"/>
      <protection hidden="1"/>
    </xf>
    <xf numFmtId="0" fontId="18" fillId="0" borderId="11" xfId="0" applyFont="1" applyFill="1" applyBorder="1" applyAlignment="1" applyProtection="1">
      <alignment horizontal="center" vertical="center"/>
      <protection hidden="1"/>
    </xf>
    <xf numFmtId="0" fontId="18" fillId="0" borderId="2" xfId="0" applyFont="1" applyFill="1" applyBorder="1" applyAlignment="1" applyProtection="1">
      <alignment horizontal="center" vertical="center"/>
      <protection hidden="1"/>
    </xf>
    <xf numFmtId="0" fontId="18" fillId="0" borderId="0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49" fontId="17" fillId="0" borderId="0" xfId="0" applyNumberFormat="1" applyFont="1" applyFill="1" applyBorder="1" applyAlignment="1" applyProtection="1">
      <alignment horizontal="center" vertical="center"/>
      <protection hidden="1"/>
    </xf>
    <xf numFmtId="0" fontId="18" fillId="0" borderId="8" xfId="0" applyFont="1" applyBorder="1" applyAlignment="1" applyProtection="1">
      <alignment horizontal="center"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left" vertical="center"/>
      <protection hidden="1"/>
    </xf>
    <xf numFmtId="0" fontId="17" fillId="0" borderId="25" xfId="0" applyFont="1" applyFill="1" applyBorder="1" applyAlignment="1" applyProtection="1">
      <alignment horizontal="center" vertical="center"/>
      <protection hidden="1"/>
    </xf>
    <xf numFmtId="0" fontId="17" fillId="0" borderId="26" xfId="0" applyFont="1" applyFill="1" applyBorder="1" applyAlignment="1" applyProtection="1">
      <alignment horizontal="center" vertical="center"/>
      <protection hidden="1"/>
    </xf>
    <xf numFmtId="0" fontId="18" fillId="0" borderId="6" xfId="0" applyFont="1" applyBorder="1" applyAlignment="1" applyProtection="1">
      <alignment horizontal="center" vertical="center"/>
      <protection hidden="1"/>
    </xf>
    <xf numFmtId="0" fontId="18" fillId="0" borderId="6" xfId="0" applyFont="1" applyBorder="1" applyAlignment="1" applyProtection="1">
      <alignment vertical="center"/>
      <protection hidden="1"/>
    </xf>
    <xf numFmtId="0" fontId="21" fillId="0" borderId="3" xfId="0" applyFont="1" applyFill="1" applyBorder="1" applyAlignment="1" applyProtection="1">
      <alignment horizontal="left" vertical="center"/>
      <protection hidden="1"/>
    </xf>
    <xf numFmtId="0" fontId="21" fillId="0" borderId="0" xfId="0" applyFont="1" applyFill="1" applyBorder="1" applyAlignment="1" applyProtection="1">
      <alignment horizontal="left" vertical="center"/>
      <protection hidden="1"/>
    </xf>
    <xf numFmtId="11" fontId="18" fillId="0" borderId="10" xfId="0" applyNumberFormat="1" applyFont="1" applyBorder="1" applyAlignment="1" applyProtection="1">
      <alignment horizontal="center" vertical="center"/>
      <protection hidden="1"/>
    </xf>
    <xf numFmtId="11" fontId="18" fillId="0" borderId="8" xfId="0" applyNumberFormat="1" applyFont="1" applyBorder="1" applyAlignment="1" applyProtection="1">
      <alignment horizontal="center" vertical="center"/>
      <protection hidden="1"/>
    </xf>
    <xf numFmtId="0" fontId="18" fillId="0" borderId="7" xfId="0" applyFont="1" applyFill="1" applyBorder="1" applyAlignment="1" applyProtection="1">
      <alignment horizontal="center" vertical="center"/>
      <protection hidden="1"/>
    </xf>
    <xf numFmtId="0" fontId="18" fillId="0" borderId="1" xfId="0" applyFont="1" applyFill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horizontal="left" vertical="center"/>
      <protection hidden="1"/>
    </xf>
    <xf numFmtId="0" fontId="2" fillId="10" borderId="3" xfId="0" applyFont="1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hidden="1"/>
    </xf>
    <xf numFmtId="1" fontId="18" fillId="0" borderId="0" xfId="0" applyNumberFormat="1" applyFont="1" applyFill="1" applyBorder="1" applyAlignment="1" applyProtection="1">
      <alignment horizontal="center" vertical="center"/>
      <protection hidden="1"/>
    </xf>
    <xf numFmtId="1" fontId="18" fillId="0" borderId="4" xfId="0" applyNumberFormat="1" applyFont="1" applyFill="1" applyBorder="1" applyAlignment="1" applyProtection="1">
      <alignment horizontal="center" vertical="center"/>
      <protection hidden="1"/>
    </xf>
    <xf numFmtId="0" fontId="19" fillId="0" borderId="0" xfId="0" applyFont="1" applyFill="1" applyBorder="1" applyAlignment="1" applyProtection="1">
      <alignment horizontal="center" vertical="center"/>
      <protection hidden="1"/>
    </xf>
    <xf numFmtId="0" fontId="19" fillId="0" borderId="12" xfId="0" applyFont="1" applyFill="1" applyBorder="1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horizontal="center" vertical="center"/>
      <protection hidden="1"/>
    </xf>
    <xf numFmtId="0" fontId="8" fillId="0" borderId="33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21" fillId="0" borderId="5" xfId="0" applyFont="1" applyFill="1" applyBorder="1" applyAlignment="1" applyProtection="1">
      <alignment horizontal="left" vertical="center"/>
      <protection hidden="1"/>
    </xf>
    <xf numFmtId="0" fontId="21" fillId="0" borderId="6" xfId="0" applyFont="1" applyFill="1" applyBorder="1" applyAlignment="1" applyProtection="1">
      <alignment horizontal="left" vertical="center"/>
      <protection hidden="1"/>
    </xf>
    <xf numFmtId="0" fontId="18" fillId="0" borderId="6" xfId="0" applyFont="1" applyFill="1" applyBorder="1" applyAlignment="1" applyProtection="1">
      <alignment horizontal="right" vertical="center"/>
      <protection hidden="1"/>
    </xf>
    <xf numFmtId="0" fontId="9" fillId="0" borderId="6" xfId="0" applyFont="1" applyFill="1" applyBorder="1" applyAlignment="1" applyProtection="1">
      <alignment horizontal="right" vertical="center"/>
      <protection hidden="1"/>
    </xf>
  </cellXfs>
  <cellStyles count="1">
    <cellStyle name="Standard" xfId="0" builtinId="0"/>
  </cellStyles>
  <dxfs count="4"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535305</xdr:colOff>
      <xdr:row>16</xdr:row>
      <xdr:rowOff>0</xdr:rowOff>
    </xdr:from>
    <xdr:ext cx="2160184" cy="544882"/>
    <xdr:sp macro="" textlink="">
      <xdr:nvSpPr>
        <xdr:cNvPr id="112" name="TextBox 111"/>
        <xdr:cNvSpPr txBox="1"/>
      </xdr:nvSpPr>
      <xdr:spPr>
        <a:xfrm>
          <a:off x="5429250" y="3409950"/>
          <a:ext cx="2133600" cy="552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de-DE"/>
        </a:p>
      </xdr:txBody>
    </xdr:sp>
    <xdr:clientData/>
  </xdr:oneCellAnchor>
  <xdr:oneCellAnchor>
    <xdr:from>
      <xdr:col>2</xdr:col>
      <xdr:colOff>266701</xdr:colOff>
      <xdr:row>16</xdr:row>
      <xdr:rowOff>0</xdr:rowOff>
    </xdr:from>
    <xdr:ext cx="250726" cy="638176"/>
    <xdr:sp macro="" textlink="">
      <xdr:nvSpPr>
        <xdr:cNvPr id="113" name="TextBox 112"/>
        <xdr:cNvSpPr txBox="1"/>
      </xdr:nvSpPr>
      <xdr:spPr>
        <a:xfrm>
          <a:off x="876301" y="3809999"/>
          <a:ext cx="1543050" cy="6381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de-DE"/>
        </a:p>
      </xdr:txBody>
    </xdr:sp>
    <xdr:clientData/>
  </xdr:oneCellAnchor>
  <xdr:twoCellAnchor editAs="oneCell">
    <xdr:from>
      <xdr:col>2</xdr:col>
      <xdr:colOff>350520</xdr:colOff>
      <xdr:row>16</xdr:row>
      <xdr:rowOff>0</xdr:rowOff>
    </xdr:from>
    <xdr:to>
      <xdr:col>2</xdr:col>
      <xdr:colOff>2194560</xdr:colOff>
      <xdr:row>22</xdr:row>
      <xdr:rowOff>38100</xdr:rowOff>
    </xdr:to>
    <xdr:sp macro="" textlink="">
      <xdr:nvSpPr>
        <xdr:cNvPr id="21215" name="TextBox 113"/>
        <xdr:cNvSpPr txBox="1">
          <a:spLocks noChangeArrowheads="1"/>
        </xdr:cNvSpPr>
      </xdr:nvSpPr>
      <xdr:spPr bwMode="auto">
        <a:xfrm>
          <a:off x="1920240" y="3619500"/>
          <a:ext cx="184404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350520</xdr:colOff>
      <xdr:row>16</xdr:row>
      <xdr:rowOff>0</xdr:rowOff>
    </xdr:from>
    <xdr:to>
      <xdr:col>9</xdr:col>
      <xdr:colOff>464820</xdr:colOff>
      <xdr:row>22</xdr:row>
      <xdr:rowOff>30480</xdr:rowOff>
    </xdr:to>
    <xdr:sp macro="" textlink="">
      <xdr:nvSpPr>
        <xdr:cNvPr id="21216" name="TextBox 115"/>
        <xdr:cNvSpPr txBox="1">
          <a:spLocks noChangeArrowheads="1"/>
        </xdr:cNvSpPr>
      </xdr:nvSpPr>
      <xdr:spPr bwMode="auto">
        <a:xfrm>
          <a:off x="13997940" y="3619500"/>
          <a:ext cx="2171700" cy="1173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1905</xdr:colOff>
      <xdr:row>8</xdr:row>
      <xdr:rowOff>87630</xdr:rowOff>
    </xdr:from>
    <xdr:to>
      <xdr:col>5</xdr:col>
      <xdr:colOff>1905</xdr:colOff>
      <xdr:row>8</xdr:row>
      <xdr:rowOff>87631</xdr:rowOff>
    </xdr:to>
    <xdr:cxnSp macro="">
      <xdr:nvCxnSpPr>
        <xdr:cNvPr id="118" name="Straight Arrow Connector 117"/>
        <xdr:cNvCxnSpPr/>
      </xdr:nvCxnSpPr>
      <xdr:spPr>
        <a:xfrm flipV="1">
          <a:off x="3648075" y="95250"/>
          <a:ext cx="1228725" cy="1"/>
        </a:xfrm>
        <a:prstGeom prst="straightConnector1">
          <a:avLst/>
        </a:prstGeom>
        <a:ln w="38100">
          <a:headEnd type="arrow"/>
          <a:tailEnd type="arrow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15240</xdr:colOff>
      <xdr:row>9</xdr:row>
      <xdr:rowOff>87154</xdr:rowOff>
    </xdr:from>
    <xdr:to>
      <xdr:col>5</xdr:col>
      <xdr:colOff>1862</xdr:colOff>
      <xdr:row>9</xdr:row>
      <xdr:rowOff>88742</xdr:rowOff>
    </xdr:to>
    <xdr:cxnSp macro="">
      <xdr:nvCxnSpPr>
        <xdr:cNvPr id="2" name="Straight Arrow Connector 121"/>
        <xdr:cNvCxnSpPr/>
      </xdr:nvCxnSpPr>
      <xdr:spPr>
        <a:xfrm>
          <a:off x="4867275" y="295275"/>
          <a:ext cx="122872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15240</xdr:colOff>
      <xdr:row>10</xdr:row>
      <xdr:rowOff>92392</xdr:rowOff>
    </xdr:from>
    <xdr:to>
      <xdr:col>5</xdr:col>
      <xdr:colOff>3985</xdr:colOff>
      <xdr:row>10</xdr:row>
      <xdr:rowOff>97155</xdr:rowOff>
    </xdr:to>
    <xdr:cxnSp macro="">
      <xdr:nvCxnSpPr>
        <xdr:cNvPr id="3" name="Straight Arrow Connector 124"/>
        <xdr:cNvCxnSpPr/>
      </xdr:nvCxnSpPr>
      <xdr:spPr>
        <a:xfrm flipV="1">
          <a:off x="6096000" y="466725"/>
          <a:ext cx="122872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15240</xdr:colOff>
      <xdr:row>11</xdr:row>
      <xdr:rowOff>94297</xdr:rowOff>
    </xdr:from>
    <xdr:to>
      <xdr:col>5</xdr:col>
      <xdr:colOff>11</xdr:colOff>
      <xdr:row>11</xdr:row>
      <xdr:rowOff>95091</xdr:rowOff>
    </xdr:to>
    <xdr:cxnSp macro="">
      <xdr:nvCxnSpPr>
        <xdr:cNvPr id="128" name="Straight Arrow Connector 127"/>
        <xdr:cNvCxnSpPr/>
      </xdr:nvCxnSpPr>
      <xdr:spPr>
        <a:xfrm>
          <a:off x="6096000" y="657225"/>
          <a:ext cx="122872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</xdr:colOff>
      <xdr:row>9</xdr:row>
      <xdr:rowOff>85249</xdr:rowOff>
    </xdr:from>
    <xdr:to>
      <xdr:col>5</xdr:col>
      <xdr:colOff>1905</xdr:colOff>
      <xdr:row>9</xdr:row>
      <xdr:rowOff>85250</xdr:rowOff>
    </xdr:to>
    <xdr:cxnSp macro="">
      <xdr:nvCxnSpPr>
        <xdr:cNvPr id="4" name="Straight Arrow Connector 117"/>
        <xdr:cNvCxnSpPr/>
      </xdr:nvCxnSpPr>
      <xdr:spPr>
        <a:xfrm flipV="1">
          <a:off x="3648075" y="95250"/>
          <a:ext cx="1228725" cy="1"/>
        </a:xfrm>
        <a:prstGeom prst="straightConnector1">
          <a:avLst/>
        </a:prstGeom>
        <a:ln w="38100">
          <a:headEnd type="arrow"/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</xdr:colOff>
      <xdr:row>10</xdr:row>
      <xdr:rowOff>96202</xdr:rowOff>
    </xdr:from>
    <xdr:to>
      <xdr:col>5</xdr:col>
      <xdr:colOff>1905</xdr:colOff>
      <xdr:row>10</xdr:row>
      <xdr:rowOff>96203</xdr:rowOff>
    </xdr:to>
    <xdr:cxnSp macro="">
      <xdr:nvCxnSpPr>
        <xdr:cNvPr id="5" name="Straight Arrow Connector 117"/>
        <xdr:cNvCxnSpPr/>
      </xdr:nvCxnSpPr>
      <xdr:spPr>
        <a:xfrm flipV="1">
          <a:off x="3648075" y="95250"/>
          <a:ext cx="1228725" cy="1"/>
        </a:xfrm>
        <a:prstGeom prst="straightConnector1">
          <a:avLst/>
        </a:prstGeom>
        <a:ln w="38100">
          <a:headEnd type="arrow"/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</xdr:colOff>
      <xdr:row>11</xdr:row>
      <xdr:rowOff>96202</xdr:rowOff>
    </xdr:from>
    <xdr:to>
      <xdr:col>5</xdr:col>
      <xdr:colOff>1905</xdr:colOff>
      <xdr:row>11</xdr:row>
      <xdr:rowOff>96203</xdr:rowOff>
    </xdr:to>
    <xdr:cxnSp macro="">
      <xdr:nvCxnSpPr>
        <xdr:cNvPr id="6" name="Straight Arrow Connector 117"/>
        <xdr:cNvCxnSpPr/>
      </xdr:nvCxnSpPr>
      <xdr:spPr>
        <a:xfrm flipV="1">
          <a:off x="3648075" y="95250"/>
          <a:ext cx="1228725" cy="1"/>
        </a:xfrm>
        <a:prstGeom prst="straightConnector1">
          <a:avLst/>
        </a:prstGeom>
        <a:ln w="38100">
          <a:headEnd type="arrow"/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</xdr:col>
      <xdr:colOff>7620</xdr:colOff>
      <xdr:row>42</xdr:row>
      <xdr:rowOff>182880</xdr:rowOff>
    </xdr:from>
    <xdr:to>
      <xdr:col>2</xdr:col>
      <xdr:colOff>3528060</xdr:colOff>
      <xdr:row>47</xdr:row>
      <xdr:rowOff>0</xdr:rowOff>
    </xdr:to>
    <xdr:sp macro="" textlink="">
      <xdr:nvSpPr>
        <xdr:cNvPr id="21224" name="Freeform 51"/>
        <xdr:cNvSpPr>
          <a:spLocks/>
        </xdr:cNvSpPr>
      </xdr:nvSpPr>
      <xdr:spPr bwMode="auto">
        <a:xfrm>
          <a:off x="1577340" y="8785860"/>
          <a:ext cx="3520440" cy="769620"/>
        </a:xfrm>
        <a:custGeom>
          <a:avLst/>
          <a:gdLst>
            <a:gd name="T0" fmla="*/ 0 w 3512344"/>
            <a:gd name="T1" fmla="*/ 725188 h 773906"/>
            <a:gd name="T2" fmla="*/ 2646250 w 3512344"/>
            <a:gd name="T3" fmla="*/ 568994 h 773906"/>
            <a:gd name="T4" fmla="*/ 3630899 w 3512344"/>
            <a:gd name="T5" fmla="*/ 0 h 773906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3512344" h="773906">
              <a:moveTo>
                <a:pt x="0" y="773906"/>
              </a:moveTo>
              <a:cubicBezTo>
                <a:pt x="987226" y="755054"/>
                <a:pt x="1974453" y="736203"/>
                <a:pt x="2559844" y="607219"/>
              </a:cubicBezTo>
              <a:cubicBezTo>
                <a:pt x="3145235" y="478235"/>
                <a:pt x="3328789" y="239117"/>
                <a:pt x="3512344" y="0"/>
              </a:cubicBez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3535680</xdr:colOff>
      <xdr:row>41</xdr:row>
      <xdr:rowOff>0</xdr:rowOff>
    </xdr:from>
    <xdr:to>
      <xdr:col>2</xdr:col>
      <xdr:colOff>6187440</xdr:colOff>
      <xdr:row>42</xdr:row>
      <xdr:rowOff>167640</xdr:rowOff>
    </xdr:to>
    <xdr:cxnSp macro="">
      <xdr:nvCxnSpPr>
        <xdr:cNvPr id="21225" name="Straight Connector 53"/>
        <xdr:cNvCxnSpPr>
          <a:cxnSpLocks noChangeShapeType="1"/>
        </xdr:cNvCxnSpPr>
      </xdr:nvCxnSpPr>
      <xdr:spPr bwMode="auto">
        <a:xfrm flipV="1">
          <a:off x="5105400" y="8412480"/>
          <a:ext cx="2651760" cy="35814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6202680</xdr:colOff>
      <xdr:row>36</xdr:row>
      <xdr:rowOff>30480</xdr:rowOff>
    </xdr:from>
    <xdr:to>
      <xdr:col>2</xdr:col>
      <xdr:colOff>6865620</xdr:colOff>
      <xdr:row>40</xdr:row>
      <xdr:rowOff>182880</xdr:rowOff>
    </xdr:to>
    <xdr:cxnSp macro="">
      <xdr:nvCxnSpPr>
        <xdr:cNvPr id="21226" name="Straight Connector 56"/>
        <xdr:cNvCxnSpPr>
          <a:cxnSpLocks noChangeShapeType="1"/>
        </xdr:cNvCxnSpPr>
      </xdr:nvCxnSpPr>
      <xdr:spPr bwMode="auto">
        <a:xfrm flipV="1">
          <a:off x="7772400" y="7490460"/>
          <a:ext cx="662940" cy="91440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2407920</xdr:colOff>
      <xdr:row>36</xdr:row>
      <xdr:rowOff>30480</xdr:rowOff>
    </xdr:from>
    <xdr:to>
      <xdr:col>2</xdr:col>
      <xdr:colOff>6865620</xdr:colOff>
      <xdr:row>36</xdr:row>
      <xdr:rowOff>137160</xdr:rowOff>
    </xdr:to>
    <xdr:cxnSp macro="">
      <xdr:nvCxnSpPr>
        <xdr:cNvPr id="21227" name="Straight Connector 59"/>
        <xdr:cNvCxnSpPr>
          <a:cxnSpLocks noChangeShapeType="1"/>
        </xdr:cNvCxnSpPr>
      </xdr:nvCxnSpPr>
      <xdr:spPr bwMode="auto">
        <a:xfrm flipH="1">
          <a:off x="3977640" y="7490460"/>
          <a:ext cx="4457700" cy="10668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7620</xdr:colOff>
      <xdr:row>59</xdr:row>
      <xdr:rowOff>182880</xdr:rowOff>
    </xdr:from>
    <xdr:to>
      <xdr:col>2</xdr:col>
      <xdr:colOff>3528060</xdr:colOff>
      <xdr:row>64</xdr:row>
      <xdr:rowOff>0</xdr:rowOff>
    </xdr:to>
    <xdr:sp macro="" textlink="">
      <xdr:nvSpPr>
        <xdr:cNvPr id="21228" name="Freeform 87"/>
        <xdr:cNvSpPr>
          <a:spLocks/>
        </xdr:cNvSpPr>
      </xdr:nvSpPr>
      <xdr:spPr bwMode="auto">
        <a:xfrm>
          <a:off x="1577340" y="12024360"/>
          <a:ext cx="3520440" cy="769620"/>
        </a:xfrm>
        <a:custGeom>
          <a:avLst/>
          <a:gdLst>
            <a:gd name="T0" fmla="*/ 0 w 3512344"/>
            <a:gd name="T1" fmla="*/ 725188 h 773906"/>
            <a:gd name="T2" fmla="*/ 2646250 w 3512344"/>
            <a:gd name="T3" fmla="*/ 568994 h 773906"/>
            <a:gd name="T4" fmla="*/ 3630899 w 3512344"/>
            <a:gd name="T5" fmla="*/ 0 h 773906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3512344" h="773906">
              <a:moveTo>
                <a:pt x="0" y="773906"/>
              </a:moveTo>
              <a:cubicBezTo>
                <a:pt x="987226" y="755054"/>
                <a:pt x="1974453" y="736203"/>
                <a:pt x="2559844" y="607219"/>
              </a:cubicBezTo>
              <a:cubicBezTo>
                <a:pt x="3145235" y="478235"/>
                <a:pt x="3328789" y="239117"/>
                <a:pt x="3512344" y="0"/>
              </a:cubicBez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3535680</xdr:colOff>
      <xdr:row>58</xdr:row>
      <xdr:rowOff>0</xdr:rowOff>
    </xdr:from>
    <xdr:to>
      <xdr:col>2</xdr:col>
      <xdr:colOff>6187440</xdr:colOff>
      <xdr:row>59</xdr:row>
      <xdr:rowOff>167640</xdr:rowOff>
    </xdr:to>
    <xdr:cxnSp macro="">
      <xdr:nvCxnSpPr>
        <xdr:cNvPr id="21229" name="Straight Connector 88"/>
        <xdr:cNvCxnSpPr>
          <a:cxnSpLocks noChangeShapeType="1"/>
        </xdr:cNvCxnSpPr>
      </xdr:nvCxnSpPr>
      <xdr:spPr bwMode="auto">
        <a:xfrm flipV="1">
          <a:off x="5105400" y="11650980"/>
          <a:ext cx="2651760" cy="35814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6202680</xdr:colOff>
      <xdr:row>53</xdr:row>
      <xdr:rowOff>30480</xdr:rowOff>
    </xdr:from>
    <xdr:to>
      <xdr:col>2</xdr:col>
      <xdr:colOff>6865620</xdr:colOff>
      <xdr:row>57</xdr:row>
      <xdr:rowOff>182880</xdr:rowOff>
    </xdr:to>
    <xdr:cxnSp macro="">
      <xdr:nvCxnSpPr>
        <xdr:cNvPr id="21230" name="Straight Connector 90"/>
        <xdr:cNvCxnSpPr>
          <a:cxnSpLocks noChangeShapeType="1"/>
        </xdr:cNvCxnSpPr>
      </xdr:nvCxnSpPr>
      <xdr:spPr bwMode="auto">
        <a:xfrm flipV="1">
          <a:off x="7772400" y="10728960"/>
          <a:ext cx="662940" cy="91440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2407920</xdr:colOff>
      <xdr:row>53</xdr:row>
      <xdr:rowOff>30480</xdr:rowOff>
    </xdr:from>
    <xdr:to>
      <xdr:col>2</xdr:col>
      <xdr:colOff>6865620</xdr:colOff>
      <xdr:row>53</xdr:row>
      <xdr:rowOff>137160</xdr:rowOff>
    </xdr:to>
    <xdr:cxnSp macro="">
      <xdr:nvCxnSpPr>
        <xdr:cNvPr id="21231" name="Straight Connector 91"/>
        <xdr:cNvCxnSpPr>
          <a:cxnSpLocks noChangeShapeType="1"/>
        </xdr:cNvCxnSpPr>
      </xdr:nvCxnSpPr>
      <xdr:spPr bwMode="auto">
        <a:xfrm flipH="1">
          <a:off x="3977640" y="10728960"/>
          <a:ext cx="4457700" cy="10668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7620</xdr:colOff>
      <xdr:row>76</xdr:row>
      <xdr:rowOff>182880</xdr:rowOff>
    </xdr:from>
    <xdr:to>
      <xdr:col>2</xdr:col>
      <xdr:colOff>3528060</xdr:colOff>
      <xdr:row>81</xdr:row>
      <xdr:rowOff>0</xdr:rowOff>
    </xdr:to>
    <xdr:sp macro="" textlink="">
      <xdr:nvSpPr>
        <xdr:cNvPr id="21232" name="Freeform 93"/>
        <xdr:cNvSpPr>
          <a:spLocks/>
        </xdr:cNvSpPr>
      </xdr:nvSpPr>
      <xdr:spPr bwMode="auto">
        <a:xfrm>
          <a:off x="1577340" y="15262860"/>
          <a:ext cx="3520440" cy="769620"/>
        </a:xfrm>
        <a:custGeom>
          <a:avLst/>
          <a:gdLst>
            <a:gd name="T0" fmla="*/ 0 w 3512344"/>
            <a:gd name="T1" fmla="*/ 725188 h 773906"/>
            <a:gd name="T2" fmla="*/ 2646250 w 3512344"/>
            <a:gd name="T3" fmla="*/ 568994 h 773906"/>
            <a:gd name="T4" fmla="*/ 3630899 w 3512344"/>
            <a:gd name="T5" fmla="*/ 0 h 773906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3512344" h="773906">
              <a:moveTo>
                <a:pt x="0" y="773906"/>
              </a:moveTo>
              <a:cubicBezTo>
                <a:pt x="987226" y="755054"/>
                <a:pt x="1974453" y="736203"/>
                <a:pt x="2559844" y="607219"/>
              </a:cubicBezTo>
              <a:cubicBezTo>
                <a:pt x="3145235" y="478235"/>
                <a:pt x="3328789" y="239117"/>
                <a:pt x="3512344" y="0"/>
              </a:cubicBez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3535680</xdr:colOff>
      <xdr:row>75</xdr:row>
      <xdr:rowOff>0</xdr:rowOff>
    </xdr:from>
    <xdr:to>
      <xdr:col>2</xdr:col>
      <xdr:colOff>6187440</xdr:colOff>
      <xdr:row>76</xdr:row>
      <xdr:rowOff>167640</xdr:rowOff>
    </xdr:to>
    <xdr:cxnSp macro="">
      <xdr:nvCxnSpPr>
        <xdr:cNvPr id="21233" name="Straight Connector 94"/>
        <xdr:cNvCxnSpPr>
          <a:cxnSpLocks noChangeShapeType="1"/>
        </xdr:cNvCxnSpPr>
      </xdr:nvCxnSpPr>
      <xdr:spPr bwMode="auto">
        <a:xfrm flipV="1">
          <a:off x="5105400" y="14889480"/>
          <a:ext cx="2651760" cy="35814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6202680</xdr:colOff>
      <xdr:row>70</xdr:row>
      <xdr:rowOff>30480</xdr:rowOff>
    </xdr:from>
    <xdr:to>
      <xdr:col>2</xdr:col>
      <xdr:colOff>6865620</xdr:colOff>
      <xdr:row>74</xdr:row>
      <xdr:rowOff>182880</xdr:rowOff>
    </xdr:to>
    <xdr:cxnSp macro="">
      <xdr:nvCxnSpPr>
        <xdr:cNvPr id="21234" name="Straight Connector 96"/>
        <xdr:cNvCxnSpPr>
          <a:cxnSpLocks noChangeShapeType="1"/>
        </xdr:cNvCxnSpPr>
      </xdr:nvCxnSpPr>
      <xdr:spPr bwMode="auto">
        <a:xfrm flipV="1">
          <a:off x="7772400" y="13967460"/>
          <a:ext cx="662940" cy="91440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2407920</xdr:colOff>
      <xdr:row>70</xdr:row>
      <xdr:rowOff>30480</xdr:rowOff>
    </xdr:from>
    <xdr:to>
      <xdr:col>2</xdr:col>
      <xdr:colOff>6865620</xdr:colOff>
      <xdr:row>70</xdr:row>
      <xdr:rowOff>137160</xdr:rowOff>
    </xdr:to>
    <xdr:cxnSp macro="">
      <xdr:nvCxnSpPr>
        <xdr:cNvPr id="21235" name="Straight Connector 97"/>
        <xdr:cNvCxnSpPr>
          <a:cxnSpLocks noChangeShapeType="1"/>
        </xdr:cNvCxnSpPr>
      </xdr:nvCxnSpPr>
      <xdr:spPr bwMode="auto">
        <a:xfrm flipH="1">
          <a:off x="3977640" y="13967460"/>
          <a:ext cx="4457700" cy="10668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369094</xdr:colOff>
      <xdr:row>42</xdr:row>
      <xdr:rowOff>161449</xdr:rowOff>
    </xdr:from>
    <xdr:to>
      <xdr:col>2</xdr:col>
      <xdr:colOff>8081010</xdr:colOff>
      <xdr:row>43</xdr:row>
      <xdr:rowOff>6667</xdr:rowOff>
    </xdr:to>
    <xdr:cxnSp macro="">
      <xdr:nvCxnSpPr>
        <xdr:cNvPr id="65" name="Straight Connector 64"/>
        <xdr:cNvCxnSpPr/>
      </xdr:nvCxnSpPr>
      <xdr:spPr bwMode="auto">
        <a:xfrm flipV="1">
          <a:off x="1797844" y="11799094"/>
          <a:ext cx="7727156" cy="11906"/>
        </a:xfrm>
        <a:prstGeom prst="line">
          <a:avLst/>
        </a:prstGeom>
        <a:ln>
          <a:headEnd type="none" w="med" len="med"/>
          <a:tailEnd type="none" w="med" len="med"/>
        </a:ln>
        <a:extLst/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</xdr:col>
      <xdr:colOff>369094</xdr:colOff>
      <xdr:row>59</xdr:row>
      <xdr:rowOff>71438</xdr:rowOff>
    </xdr:from>
    <xdr:to>
      <xdr:col>2</xdr:col>
      <xdr:colOff>8192459</xdr:colOff>
      <xdr:row>59</xdr:row>
      <xdr:rowOff>83344</xdr:rowOff>
    </xdr:to>
    <xdr:cxnSp macro="">
      <xdr:nvCxnSpPr>
        <xdr:cNvPr id="71" name="Straight Connector 70"/>
        <xdr:cNvCxnSpPr/>
      </xdr:nvCxnSpPr>
      <xdr:spPr bwMode="auto">
        <a:xfrm>
          <a:off x="1797844" y="14930438"/>
          <a:ext cx="7846219" cy="11906"/>
        </a:xfrm>
        <a:prstGeom prst="line">
          <a:avLst/>
        </a:prstGeom>
        <a:ln>
          <a:headEnd type="none" w="med" len="med"/>
          <a:tailEnd type="none" w="med" len="med"/>
        </a:ln>
        <a:extLst/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</xdr:col>
      <xdr:colOff>511969</xdr:colOff>
      <xdr:row>76</xdr:row>
      <xdr:rowOff>83344</xdr:rowOff>
    </xdr:from>
    <xdr:to>
      <xdr:col>2</xdr:col>
      <xdr:colOff>8004816</xdr:colOff>
      <xdr:row>76</xdr:row>
      <xdr:rowOff>89297</xdr:rowOff>
    </xdr:to>
    <xdr:cxnSp macro="">
      <xdr:nvCxnSpPr>
        <xdr:cNvPr id="75" name="Straight Connector 74"/>
        <xdr:cNvCxnSpPr/>
      </xdr:nvCxnSpPr>
      <xdr:spPr bwMode="auto">
        <a:xfrm flipV="1">
          <a:off x="1940719" y="18180844"/>
          <a:ext cx="7489031" cy="11906"/>
        </a:xfrm>
        <a:prstGeom prst="line">
          <a:avLst/>
        </a:prstGeom>
        <a:ln>
          <a:headEnd type="none" w="med" len="med"/>
          <a:tailEnd type="none" w="med" len="med"/>
        </a:ln>
        <a:extLst/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1056800</xdr:colOff>
      <xdr:row>56</xdr:row>
      <xdr:rowOff>85725</xdr:rowOff>
    </xdr:from>
    <xdr:to>
      <xdr:col>2</xdr:col>
      <xdr:colOff>7274719</xdr:colOff>
      <xdr:row>65</xdr:row>
      <xdr:rowOff>50006</xdr:rowOff>
    </xdr:to>
    <xdr:cxnSp macro="">
      <xdr:nvCxnSpPr>
        <xdr:cNvPr id="80" name="Straight Connector 79"/>
        <xdr:cNvCxnSpPr/>
      </xdr:nvCxnSpPr>
      <xdr:spPr bwMode="auto">
        <a:xfrm flipH="1">
          <a:off x="2512220" y="14382750"/>
          <a:ext cx="6191249" cy="1678781"/>
        </a:xfrm>
        <a:prstGeom prst="line">
          <a:avLst/>
        </a:prstGeom>
        <a:ln>
          <a:headEnd type="none" w="med" len="med"/>
          <a:tailEnd type="none" w="med" len="med"/>
        </a:ln>
        <a:extLst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1870234</xdr:colOff>
      <xdr:row>39</xdr:row>
      <xdr:rowOff>119063</xdr:rowOff>
    </xdr:from>
    <xdr:to>
      <xdr:col>2</xdr:col>
      <xdr:colOff>7227094</xdr:colOff>
      <xdr:row>47</xdr:row>
      <xdr:rowOff>14288</xdr:rowOff>
    </xdr:to>
    <xdr:cxnSp macro="">
      <xdr:nvCxnSpPr>
        <xdr:cNvPr id="84" name="Straight Connector 83"/>
        <xdr:cNvCxnSpPr/>
      </xdr:nvCxnSpPr>
      <xdr:spPr bwMode="auto">
        <a:xfrm flipH="1">
          <a:off x="3321844" y="11168063"/>
          <a:ext cx="5334000" cy="1428750"/>
        </a:xfrm>
        <a:prstGeom prst="line">
          <a:avLst/>
        </a:prstGeom>
        <a:ln>
          <a:headEnd type="none" w="med" len="med"/>
          <a:tailEnd type="none" w="med" len="med"/>
        </a:ln>
        <a:extLst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1751172</xdr:colOff>
      <xdr:row>73</xdr:row>
      <xdr:rowOff>71438</xdr:rowOff>
    </xdr:from>
    <xdr:to>
      <xdr:col>2</xdr:col>
      <xdr:colOff>7314737</xdr:colOff>
      <xdr:row>81</xdr:row>
      <xdr:rowOff>50080</xdr:rowOff>
    </xdr:to>
    <xdr:cxnSp macro="">
      <xdr:nvCxnSpPr>
        <xdr:cNvPr id="100" name="Straight Connector 99"/>
        <xdr:cNvCxnSpPr/>
      </xdr:nvCxnSpPr>
      <xdr:spPr bwMode="auto">
        <a:xfrm flipH="1">
          <a:off x="3202782" y="17597438"/>
          <a:ext cx="5548312" cy="1512093"/>
        </a:xfrm>
        <a:prstGeom prst="line">
          <a:avLst/>
        </a:prstGeom>
        <a:ln>
          <a:headEnd type="none" w="med" len="med"/>
          <a:tailEnd type="none" w="med" len="med"/>
        </a:ln>
        <a:extLst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</xdr:col>
      <xdr:colOff>4286</xdr:colOff>
      <xdr:row>46</xdr:row>
      <xdr:rowOff>161449</xdr:rowOff>
    </xdr:from>
    <xdr:to>
      <xdr:col>2</xdr:col>
      <xdr:colOff>8140090</xdr:colOff>
      <xdr:row>47</xdr:row>
      <xdr:rowOff>6667</xdr:rowOff>
    </xdr:to>
    <xdr:cxnSp macro="">
      <xdr:nvCxnSpPr>
        <xdr:cNvPr id="105" name="Straight Connector 104"/>
        <xdr:cNvCxnSpPr>
          <a:stCxn id="21224" idx="0"/>
        </xdr:cNvCxnSpPr>
      </xdr:nvCxnSpPr>
      <xdr:spPr bwMode="auto">
        <a:xfrm flipV="1">
          <a:off x="1440656" y="12561094"/>
          <a:ext cx="8131969" cy="11906"/>
        </a:xfrm>
        <a:prstGeom prst="line">
          <a:avLst/>
        </a:prstGeom>
        <a:ln>
          <a:headEnd type="none" w="med" len="med"/>
          <a:tailEnd type="none" w="med" len="med"/>
        </a:ln>
        <a:extLst/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8100060</xdr:colOff>
      <xdr:row>42</xdr:row>
      <xdr:rowOff>152400</xdr:rowOff>
    </xdr:from>
    <xdr:to>
      <xdr:col>2</xdr:col>
      <xdr:colOff>8122920</xdr:colOff>
      <xdr:row>46</xdr:row>
      <xdr:rowOff>182880</xdr:rowOff>
    </xdr:to>
    <xdr:cxnSp macro="">
      <xdr:nvCxnSpPr>
        <xdr:cNvPr id="21243" name="Straight Arrow Connector 115"/>
        <xdr:cNvCxnSpPr>
          <a:cxnSpLocks noChangeShapeType="1"/>
        </xdr:cNvCxnSpPr>
      </xdr:nvCxnSpPr>
      <xdr:spPr bwMode="auto">
        <a:xfrm flipH="1">
          <a:off x="9669780" y="8755380"/>
          <a:ext cx="22860" cy="792480"/>
        </a:xfrm>
        <a:prstGeom prst="straightConnector1">
          <a:avLst/>
        </a:prstGeom>
        <a:noFill/>
        <a:ln w="381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med" len="med"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385286</xdr:colOff>
      <xdr:row>62</xdr:row>
      <xdr:rowOff>161449</xdr:rowOff>
    </xdr:from>
    <xdr:to>
      <xdr:col>2</xdr:col>
      <xdr:colOff>8155787</xdr:colOff>
      <xdr:row>63</xdr:row>
      <xdr:rowOff>13281</xdr:rowOff>
    </xdr:to>
    <xdr:cxnSp macro="">
      <xdr:nvCxnSpPr>
        <xdr:cNvPr id="120" name="Straight Connector 119"/>
        <xdr:cNvCxnSpPr/>
      </xdr:nvCxnSpPr>
      <xdr:spPr bwMode="auto">
        <a:xfrm>
          <a:off x="1821656" y="15609094"/>
          <a:ext cx="7762875" cy="23812"/>
        </a:xfrm>
        <a:prstGeom prst="line">
          <a:avLst/>
        </a:prstGeom>
        <a:ln>
          <a:headEnd type="none" w="med" len="med"/>
          <a:tailEnd type="none" w="med" len="med"/>
        </a:ln>
        <a:extLst/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</xdr:col>
      <xdr:colOff>523875</xdr:colOff>
      <xdr:row>78</xdr:row>
      <xdr:rowOff>85725</xdr:rowOff>
    </xdr:from>
    <xdr:to>
      <xdr:col>2</xdr:col>
      <xdr:colOff>7953375</xdr:colOff>
      <xdr:row>78</xdr:row>
      <xdr:rowOff>85725</xdr:rowOff>
    </xdr:to>
    <xdr:cxnSp macro="">
      <xdr:nvCxnSpPr>
        <xdr:cNvPr id="124" name="Straight Connector 123"/>
        <xdr:cNvCxnSpPr/>
      </xdr:nvCxnSpPr>
      <xdr:spPr bwMode="auto">
        <a:xfrm>
          <a:off x="1952625" y="18573750"/>
          <a:ext cx="7429500" cy="0"/>
        </a:xfrm>
        <a:prstGeom prst="line">
          <a:avLst/>
        </a:prstGeom>
        <a:ln>
          <a:headEnd type="none" w="med" len="med"/>
          <a:tailEnd type="none" w="med" len="med"/>
        </a:ln>
        <a:extLst/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</xdr:col>
      <xdr:colOff>3284220</xdr:colOff>
      <xdr:row>73</xdr:row>
      <xdr:rowOff>30480</xdr:rowOff>
    </xdr:from>
    <xdr:to>
      <xdr:col>2</xdr:col>
      <xdr:colOff>7856220</xdr:colOff>
      <xdr:row>78</xdr:row>
      <xdr:rowOff>83820</xdr:rowOff>
    </xdr:to>
    <xdr:cxnSp macro="">
      <xdr:nvCxnSpPr>
        <xdr:cNvPr id="21246" name="Straight Connector 128"/>
        <xdr:cNvCxnSpPr>
          <a:cxnSpLocks noChangeShapeType="1"/>
        </xdr:cNvCxnSpPr>
      </xdr:nvCxnSpPr>
      <xdr:spPr bwMode="auto">
        <a:xfrm flipV="1">
          <a:off x="4853940" y="14538960"/>
          <a:ext cx="4572000" cy="100584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3528060</xdr:colOff>
      <xdr:row>35</xdr:row>
      <xdr:rowOff>45720</xdr:rowOff>
    </xdr:from>
    <xdr:to>
      <xdr:col>2</xdr:col>
      <xdr:colOff>3550920</xdr:colOff>
      <xdr:row>48</xdr:row>
      <xdr:rowOff>106680</xdr:rowOff>
    </xdr:to>
    <xdr:cxnSp macro="">
      <xdr:nvCxnSpPr>
        <xdr:cNvPr id="21247" name="Straight Connector 134"/>
        <xdr:cNvCxnSpPr>
          <a:cxnSpLocks noChangeShapeType="1"/>
        </xdr:cNvCxnSpPr>
      </xdr:nvCxnSpPr>
      <xdr:spPr bwMode="auto">
        <a:xfrm flipH="1">
          <a:off x="5097780" y="7315200"/>
          <a:ext cx="22860" cy="253746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4884420</xdr:colOff>
      <xdr:row>35</xdr:row>
      <xdr:rowOff>106680</xdr:rowOff>
    </xdr:from>
    <xdr:to>
      <xdr:col>2</xdr:col>
      <xdr:colOff>4899660</xdr:colOff>
      <xdr:row>48</xdr:row>
      <xdr:rowOff>60960</xdr:rowOff>
    </xdr:to>
    <xdr:cxnSp macro="">
      <xdr:nvCxnSpPr>
        <xdr:cNvPr id="21248" name="Straight Connector 138"/>
        <xdr:cNvCxnSpPr>
          <a:cxnSpLocks noChangeShapeType="1"/>
        </xdr:cNvCxnSpPr>
      </xdr:nvCxnSpPr>
      <xdr:spPr bwMode="auto">
        <a:xfrm>
          <a:off x="6454140" y="7376160"/>
          <a:ext cx="15240" cy="243078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6149340</xdr:colOff>
      <xdr:row>35</xdr:row>
      <xdr:rowOff>121920</xdr:rowOff>
    </xdr:from>
    <xdr:to>
      <xdr:col>2</xdr:col>
      <xdr:colOff>6187440</xdr:colOff>
      <xdr:row>48</xdr:row>
      <xdr:rowOff>121920</xdr:rowOff>
    </xdr:to>
    <xdr:cxnSp macro="">
      <xdr:nvCxnSpPr>
        <xdr:cNvPr id="21249" name="Straight Connector 142"/>
        <xdr:cNvCxnSpPr>
          <a:cxnSpLocks noChangeShapeType="1"/>
        </xdr:cNvCxnSpPr>
      </xdr:nvCxnSpPr>
      <xdr:spPr bwMode="auto">
        <a:xfrm>
          <a:off x="7719060" y="7391400"/>
          <a:ext cx="38100" cy="247650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2571750</xdr:colOff>
      <xdr:row>42</xdr:row>
      <xdr:rowOff>161449</xdr:rowOff>
    </xdr:from>
    <xdr:to>
      <xdr:col>2</xdr:col>
      <xdr:colOff>2571750</xdr:colOff>
      <xdr:row>46</xdr:row>
      <xdr:rowOff>14258</xdr:rowOff>
    </xdr:to>
    <xdr:cxnSp macro="">
      <xdr:nvCxnSpPr>
        <xdr:cNvPr id="147" name="Straight Arrow Connector 146"/>
        <xdr:cNvCxnSpPr>
          <a:stCxn id="21224" idx="1"/>
        </xdr:cNvCxnSpPr>
      </xdr:nvCxnSpPr>
      <xdr:spPr bwMode="auto">
        <a:xfrm flipV="1">
          <a:off x="4000500" y="11799094"/>
          <a:ext cx="0" cy="607219"/>
        </a:xfrm>
        <a:prstGeom prst="straightConnector1">
          <a:avLst/>
        </a:prstGeom>
        <a:ln w="57150">
          <a:headEnd type="arrow"/>
          <a:tailEnd type="arrow"/>
        </a:ln>
        <a:extLst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2583656</xdr:colOff>
      <xdr:row>41</xdr:row>
      <xdr:rowOff>159068</xdr:rowOff>
    </xdr:from>
    <xdr:to>
      <xdr:col>2</xdr:col>
      <xdr:colOff>3536156</xdr:colOff>
      <xdr:row>41</xdr:row>
      <xdr:rowOff>159068</xdr:rowOff>
    </xdr:to>
    <xdr:cxnSp macro="">
      <xdr:nvCxnSpPr>
        <xdr:cNvPr id="150" name="Straight Arrow Connector 149"/>
        <xdr:cNvCxnSpPr/>
      </xdr:nvCxnSpPr>
      <xdr:spPr bwMode="auto">
        <a:xfrm>
          <a:off x="4012406" y="11596688"/>
          <a:ext cx="952500" cy="0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2571750</xdr:colOff>
      <xdr:row>41</xdr:row>
      <xdr:rowOff>14288</xdr:rowOff>
    </xdr:from>
    <xdr:to>
      <xdr:col>2</xdr:col>
      <xdr:colOff>6169370</xdr:colOff>
      <xdr:row>46</xdr:row>
      <xdr:rowOff>14288</xdr:rowOff>
    </xdr:to>
    <xdr:cxnSp macro="">
      <xdr:nvCxnSpPr>
        <xdr:cNvPr id="153" name="Straight Arrow Connector 152"/>
        <xdr:cNvCxnSpPr>
          <a:stCxn id="21224" idx="1"/>
        </xdr:cNvCxnSpPr>
      </xdr:nvCxnSpPr>
      <xdr:spPr bwMode="auto">
        <a:xfrm flipV="1">
          <a:off x="4000500" y="11453813"/>
          <a:ext cx="3595688" cy="952500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6176010</xdr:colOff>
      <xdr:row>41</xdr:row>
      <xdr:rowOff>11906</xdr:rowOff>
    </xdr:from>
    <xdr:to>
      <xdr:col>2</xdr:col>
      <xdr:colOff>6207761</xdr:colOff>
      <xdr:row>42</xdr:row>
      <xdr:rowOff>161546</xdr:rowOff>
    </xdr:to>
    <xdr:cxnSp macro="">
      <xdr:nvCxnSpPr>
        <xdr:cNvPr id="157" name="Straight Arrow Connector 156"/>
        <xdr:cNvCxnSpPr/>
      </xdr:nvCxnSpPr>
      <xdr:spPr bwMode="auto">
        <a:xfrm>
          <a:off x="7620000" y="11441906"/>
          <a:ext cx="23813" cy="357188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</xdr:col>
      <xdr:colOff>916781</xdr:colOff>
      <xdr:row>34</xdr:row>
      <xdr:rowOff>85725</xdr:rowOff>
    </xdr:from>
    <xdr:to>
      <xdr:col>3</xdr:col>
      <xdr:colOff>1833562</xdr:colOff>
      <xdr:row>34</xdr:row>
      <xdr:rowOff>85725</xdr:rowOff>
    </xdr:to>
    <xdr:cxnSp macro="">
      <xdr:nvCxnSpPr>
        <xdr:cNvPr id="5120" name="Straight Arrow Connector 5119"/>
        <xdr:cNvCxnSpPr/>
      </xdr:nvCxnSpPr>
      <xdr:spPr bwMode="auto">
        <a:xfrm>
          <a:off x="11191875" y="10001250"/>
          <a:ext cx="916781" cy="0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607219</xdr:colOff>
      <xdr:row>35</xdr:row>
      <xdr:rowOff>71438</xdr:rowOff>
    </xdr:from>
    <xdr:to>
      <xdr:col>4</xdr:col>
      <xdr:colOff>647224</xdr:colOff>
      <xdr:row>35</xdr:row>
      <xdr:rowOff>71438</xdr:rowOff>
    </xdr:to>
    <xdr:cxnSp macro="">
      <xdr:nvCxnSpPr>
        <xdr:cNvPr id="5123" name="Straight Arrow Connector 5122"/>
        <xdr:cNvCxnSpPr/>
      </xdr:nvCxnSpPr>
      <xdr:spPr bwMode="auto">
        <a:xfrm>
          <a:off x="10882313" y="10167938"/>
          <a:ext cx="1905000" cy="0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1071562</xdr:colOff>
      <xdr:row>36</xdr:row>
      <xdr:rowOff>83344</xdr:rowOff>
    </xdr:from>
    <xdr:to>
      <xdr:col>4</xdr:col>
      <xdr:colOff>214312</xdr:colOff>
      <xdr:row>36</xdr:row>
      <xdr:rowOff>89297</xdr:rowOff>
    </xdr:to>
    <xdr:cxnSp macro="">
      <xdr:nvCxnSpPr>
        <xdr:cNvPr id="5127" name="Straight Arrow Connector 5126"/>
        <xdr:cNvCxnSpPr/>
      </xdr:nvCxnSpPr>
      <xdr:spPr bwMode="auto">
        <a:xfrm flipV="1">
          <a:off x="11346656" y="10370344"/>
          <a:ext cx="1000125" cy="11906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1119187</xdr:colOff>
      <xdr:row>37</xdr:row>
      <xdr:rowOff>83344</xdr:rowOff>
    </xdr:from>
    <xdr:to>
      <xdr:col>3</xdr:col>
      <xdr:colOff>1845469</xdr:colOff>
      <xdr:row>37</xdr:row>
      <xdr:rowOff>83344</xdr:rowOff>
    </xdr:to>
    <xdr:cxnSp macro="">
      <xdr:nvCxnSpPr>
        <xdr:cNvPr id="5130" name="Straight Arrow Connector 5129"/>
        <xdr:cNvCxnSpPr/>
      </xdr:nvCxnSpPr>
      <xdr:spPr bwMode="auto">
        <a:xfrm>
          <a:off x="11394281" y="10560844"/>
          <a:ext cx="726282" cy="0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1165860</xdr:colOff>
      <xdr:row>38</xdr:row>
      <xdr:rowOff>99060</xdr:rowOff>
    </xdr:from>
    <xdr:to>
      <xdr:col>4</xdr:col>
      <xdr:colOff>464820</xdr:colOff>
      <xdr:row>38</xdr:row>
      <xdr:rowOff>99060</xdr:rowOff>
    </xdr:to>
    <xdr:cxnSp macro="">
      <xdr:nvCxnSpPr>
        <xdr:cNvPr id="21258" name="Straight Arrow Connector 5133"/>
        <xdr:cNvCxnSpPr>
          <a:cxnSpLocks noChangeShapeType="1"/>
        </xdr:cNvCxnSpPr>
      </xdr:nvCxnSpPr>
      <xdr:spPr bwMode="auto">
        <a:xfrm>
          <a:off x="11582400" y="7940040"/>
          <a:ext cx="1158240" cy="0"/>
        </a:xfrm>
        <a:prstGeom prst="straightConnector1">
          <a:avLst/>
        </a:prstGeom>
        <a:noFill/>
        <a:ln w="381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med" len="med"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8122920</xdr:colOff>
      <xdr:row>59</xdr:row>
      <xdr:rowOff>83820</xdr:rowOff>
    </xdr:from>
    <xdr:to>
      <xdr:col>2</xdr:col>
      <xdr:colOff>8122920</xdr:colOff>
      <xdr:row>63</xdr:row>
      <xdr:rowOff>0</xdr:rowOff>
    </xdr:to>
    <xdr:cxnSp macro="">
      <xdr:nvCxnSpPr>
        <xdr:cNvPr id="21259" name="Straight Arrow Connector 179"/>
        <xdr:cNvCxnSpPr>
          <a:cxnSpLocks noChangeShapeType="1"/>
        </xdr:cNvCxnSpPr>
      </xdr:nvCxnSpPr>
      <xdr:spPr bwMode="auto">
        <a:xfrm flipH="1">
          <a:off x="9692640" y="11925300"/>
          <a:ext cx="0" cy="678180"/>
        </a:xfrm>
        <a:prstGeom prst="straightConnector1">
          <a:avLst/>
        </a:prstGeom>
        <a:noFill/>
        <a:ln w="381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med" len="med"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2702719</xdr:colOff>
      <xdr:row>59</xdr:row>
      <xdr:rowOff>71438</xdr:rowOff>
    </xdr:from>
    <xdr:to>
      <xdr:col>2</xdr:col>
      <xdr:colOff>2708672</xdr:colOff>
      <xdr:row>63</xdr:row>
      <xdr:rowOff>1</xdr:rowOff>
    </xdr:to>
    <xdr:cxnSp macro="">
      <xdr:nvCxnSpPr>
        <xdr:cNvPr id="182" name="Straight Arrow Connector 181"/>
        <xdr:cNvCxnSpPr/>
      </xdr:nvCxnSpPr>
      <xdr:spPr bwMode="auto">
        <a:xfrm flipV="1">
          <a:off x="4131469" y="14930438"/>
          <a:ext cx="11906" cy="690563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</xdr:col>
      <xdr:colOff>4152900</xdr:colOff>
      <xdr:row>52</xdr:row>
      <xdr:rowOff>99060</xdr:rowOff>
    </xdr:from>
    <xdr:to>
      <xdr:col>2</xdr:col>
      <xdr:colOff>4175760</xdr:colOff>
      <xdr:row>64</xdr:row>
      <xdr:rowOff>129540</xdr:rowOff>
    </xdr:to>
    <xdr:cxnSp macro="">
      <xdr:nvCxnSpPr>
        <xdr:cNvPr id="21261" name="Straight Connector 5140"/>
        <xdr:cNvCxnSpPr>
          <a:cxnSpLocks noChangeShapeType="1"/>
        </xdr:cNvCxnSpPr>
      </xdr:nvCxnSpPr>
      <xdr:spPr bwMode="auto">
        <a:xfrm>
          <a:off x="5722620" y="10607040"/>
          <a:ext cx="22860" cy="231648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5280660</xdr:colOff>
      <xdr:row>52</xdr:row>
      <xdr:rowOff>121920</xdr:rowOff>
    </xdr:from>
    <xdr:to>
      <xdr:col>2</xdr:col>
      <xdr:colOff>5288280</xdr:colOff>
      <xdr:row>64</xdr:row>
      <xdr:rowOff>99060</xdr:rowOff>
    </xdr:to>
    <xdr:cxnSp macro="">
      <xdr:nvCxnSpPr>
        <xdr:cNvPr id="21262" name="Straight Connector 5144"/>
        <xdr:cNvCxnSpPr>
          <a:cxnSpLocks noChangeShapeType="1"/>
        </xdr:cNvCxnSpPr>
      </xdr:nvCxnSpPr>
      <xdr:spPr bwMode="auto">
        <a:xfrm flipH="1">
          <a:off x="6850380" y="10629900"/>
          <a:ext cx="7620" cy="226314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6187440</xdr:colOff>
      <xdr:row>52</xdr:row>
      <xdr:rowOff>99060</xdr:rowOff>
    </xdr:from>
    <xdr:to>
      <xdr:col>2</xdr:col>
      <xdr:colOff>6240780</xdr:colOff>
      <xdr:row>64</xdr:row>
      <xdr:rowOff>60960</xdr:rowOff>
    </xdr:to>
    <xdr:cxnSp macro="">
      <xdr:nvCxnSpPr>
        <xdr:cNvPr id="21263" name="Straight Connector 5148"/>
        <xdr:cNvCxnSpPr>
          <a:cxnSpLocks noChangeShapeType="1"/>
        </xdr:cNvCxnSpPr>
      </xdr:nvCxnSpPr>
      <xdr:spPr bwMode="auto">
        <a:xfrm>
          <a:off x="7757160" y="10607040"/>
          <a:ext cx="53340" cy="224790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6211729</xdr:colOff>
      <xdr:row>57</xdr:row>
      <xdr:rowOff>159068</xdr:rowOff>
    </xdr:from>
    <xdr:to>
      <xdr:col>2</xdr:col>
      <xdr:colOff>6247447</xdr:colOff>
      <xdr:row>59</xdr:row>
      <xdr:rowOff>123349</xdr:rowOff>
    </xdr:to>
    <xdr:cxnSp macro="">
      <xdr:nvCxnSpPr>
        <xdr:cNvPr id="196" name="Straight Arrow Connector 195"/>
        <xdr:cNvCxnSpPr/>
      </xdr:nvCxnSpPr>
      <xdr:spPr bwMode="auto">
        <a:xfrm flipH="1">
          <a:off x="7655719" y="14644688"/>
          <a:ext cx="11906" cy="345281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2667000</xdr:colOff>
      <xdr:row>57</xdr:row>
      <xdr:rowOff>161449</xdr:rowOff>
    </xdr:from>
    <xdr:to>
      <xdr:col>2</xdr:col>
      <xdr:colOff>6247484</xdr:colOff>
      <xdr:row>62</xdr:row>
      <xdr:rowOff>161449</xdr:rowOff>
    </xdr:to>
    <xdr:cxnSp macro="">
      <xdr:nvCxnSpPr>
        <xdr:cNvPr id="204" name="Straight Arrow Connector 203"/>
        <xdr:cNvCxnSpPr/>
      </xdr:nvCxnSpPr>
      <xdr:spPr bwMode="auto">
        <a:xfrm flipV="1">
          <a:off x="4095750" y="14656594"/>
          <a:ext cx="3595688" cy="952500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2707005</xdr:colOff>
      <xdr:row>58</xdr:row>
      <xdr:rowOff>0</xdr:rowOff>
    </xdr:from>
    <xdr:to>
      <xdr:col>2</xdr:col>
      <xdr:colOff>4150073</xdr:colOff>
      <xdr:row>58</xdr:row>
      <xdr:rowOff>0</xdr:rowOff>
    </xdr:to>
    <xdr:cxnSp macro="">
      <xdr:nvCxnSpPr>
        <xdr:cNvPr id="205" name="Straight Arrow Connector 204"/>
        <xdr:cNvCxnSpPr/>
      </xdr:nvCxnSpPr>
      <xdr:spPr bwMode="auto">
        <a:xfrm>
          <a:off x="4143375" y="14668500"/>
          <a:ext cx="1452562" cy="0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2567940</xdr:colOff>
      <xdr:row>35</xdr:row>
      <xdr:rowOff>144780</xdr:rowOff>
    </xdr:from>
    <xdr:to>
      <xdr:col>2</xdr:col>
      <xdr:colOff>2606040</xdr:colOff>
      <xdr:row>48</xdr:row>
      <xdr:rowOff>76200</xdr:rowOff>
    </xdr:to>
    <xdr:cxnSp macro="">
      <xdr:nvCxnSpPr>
        <xdr:cNvPr id="21267" name="Straight Connector 171"/>
        <xdr:cNvCxnSpPr>
          <a:cxnSpLocks noChangeShapeType="1"/>
        </xdr:cNvCxnSpPr>
      </xdr:nvCxnSpPr>
      <xdr:spPr bwMode="auto">
        <a:xfrm flipV="1">
          <a:off x="4137660" y="7414260"/>
          <a:ext cx="38100" cy="240792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2705100</xdr:colOff>
      <xdr:row>52</xdr:row>
      <xdr:rowOff>38100</xdr:rowOff>
    </xdr:from>
    <xdr:to>
      <xdr:col>2</xdr:col>
      <xdr:colOff>2705100</xdr:colOff>
      <xdr:row>64</xdr:row>
      <xdr:rowOff>167640</xdr:rowOff>
    </xdr:to>
    <xdr:cxnSp macro="">
      <xdr:nvCxnSpPr>
        <xdr:cNvPr id="21268" name="Straight Connector 212"/>
        <xdr:cNvCxnSpPr>
          <a:cxnSpLocks noChangeShapeType="1"/>
        </xdr:cNvCxnSpPr>
      </xdr:nvCxnSpPr>
      <xdr:spPr bwMode="auto">
        <a:xfrm flipV="1">
          <a:off x="4274820" y="10546080"/>
          <a:ext cx="0" cy="241554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7932420</xdr:colOff>
      <xdr:row>76</xdr:row>
      <xdr:rowOff>99060</xdr:rowOff>
    </xdr:from>
    <xdr:to>
      <xdr:col>2</xdr:col>
      <xdr:colOff>7932420</xdr:colOff>
      <xdr:row>78</xdr:row>
      <xdr:rowOff>144780</xdr:rowOff>
    </xdr:to>
    <xdr:cxnSp macro="">
      <xdr:nvCxnSpPr>
        <xdr:cNvPr id="21269" name="Straight Arrow Connector 215"/>
        <xdr:cNvCxnSpPr>
          <a:cxnSpLocks noChangeShapeType="1"/>
        </xdr:cNvCxnSpPr>
      </xdr:nvCxnSpPr>
      <xdr:spPr bwMode="auto">
        <a:xfrm flipH="1">
          <a:off x="9502140" y="15179040"/>
          <a:ext cx="0" cy="426720"/>
        </a:xfrm>
        <a:prstGeom prst="straightConnector1">
          <a:avLst/>
        </a:prstGeom>
        <a:noFill/>
        <a:ln w="381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med" len="med"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6217920</xdr:colOff>
      <xdr:row>69</xdr:row>
      <xdr:rowOff>60960</xdr:rowOff>
    </xdr:from>
    <xdr:to>
      <xdr:col>2</xdr:col>
      <xdr:colOff>6225540</xdr:colOff>
      <xdr:row>81</xdr:row>
      <xdr:rowOff>22860</xdr:rowOff>
    </xdr:to>
    <xdr:cxnSp macro="">
      <xdr:nvCxnSpPr>
        <xdr:cNvPr id="21270" name="Straight Connector 217"/>
        <xdr:cNvCxnSpPr>
          <a:cxnSpLocks noChangeShapeType="1"/>
        </xdr:cNvCxnSpPr>
      </xdr:nvCxnSpPr>
      <xdr:spPr bwMode="auto">
        <a:xfrm flipH="1">
          <a:off x="7787640" y="13807440"/>
          <a:ext cx="7620" cy="224790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4137660</xdr:colOff>
      <xdr:row>69</xdr:row>
      <xdr:rowOff>60960</xdr:rowOff>
    </xdr:from>
    <xdr:to>
      <xdr:col>2</xdr:col>
      <xdr:colOff>4152900</xdr:colOff>
      <xdr:row>81</xdr:row>
      <xdr:rowOff>99060</xdr:rowOff>
    </xdr:to>
    <xdr:cxnSp macro="">
      <xdr:nvCxnSpPr>
        <xdr:cNvPr id="21271" name="Straight Connector 219"/>
        <xdr:cNvCxnSpPr>
          <a:cxnSpLocks noChangeShapeType="1"/>
        </xdr:cNvCxnSpPr>
      </xdr:nvCxnSpPr>
      <xdr:spPr bwMode="auto">
        <a:xfrm>
          <a:off x="5707380" y="13807440"/>
          <a:ext cx="15240" cy="232410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3276600</xdr:colOff>
      <xdr:row>69</xdr:row>
      <xdr:rowOff>83820</xdr:rowOff>
    </xdr:from>
    <xdr:to>
      <xdr:col>2</xdr:col>
      <xdr:colOff>3276600</xdr:colOff>
      <xdr:row>82</xdr:row>
      <xdr:rowOff>30480</xdr:rowOff>
    </xdr:to>
    <xdr:cxnSp macro="">
      <xdr:nvCxnSpPr>
        <xdr:cNvPr id="21272" name="Straight Connector 220"/>
        <xdr:cNvCxnSpPr>
          <a:cxnSpLocks noChangeShapeType="1"/>
        </xdr:cNvCxnSpPr>
      </xdr:nvCxnSpPr>
      <xdr:spPr bwMode="auto">
        <a:xfrm flipV="1">
          <a:off x="4846320" y="13830300"/>
          <a:ext cx="0" cy="242316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4960620</xdr:colOff>
      <xdr:row>69</xdr:row>
      <xdr:rowOff>60960</xdr:rowOff>
    </xdr:from>
    <xdr:to>
      <xdr:col>2</xdr:col>
      <xdr:colOff>4975860</xdr:colOff>
      <xdr:row>81</xdr:row>
      <xdr:rowOff>38100</xdr:rowOff>
    </xdr:to>
    <xdr:cxnSp macro="">
      <xdr:nvCxnSpPr>
        <xdr:cNvPr id="21273" name="Straight Connector 221"/>
        <xdr:cNvCxnSpPr>
          <a:cxnSpLocks noChangeShapeType="1"/>
        </xdr:cNvCxnSpPr>
      </xdr:nvCxnSpPr>
      <xdr:spPr bwMode="auto">
        <a:xfrm flipH="1">
          <a:off x="6530340" y="13807440"/>
          <a:ext cx="15240" cy="226314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3202782</xdr:colOff>
      <xdr:row>76</xdr:row>
      <xdr:rowOff>83344</xdr:rowOff>
    </xdr:from>
    <xdr:to>
      <xdr:col>2</xdr:col>
      <xdr:colOff>3226594</xdr:colOff>
      <xdr:row>78</xdr:row>
      <xdr:rowOff>83345</xdr:rowOff>
    </xdr:to>
    <xdr:cxnSp macro="">
      <xdr:nvCxnSpPr>
        <xdr:cNvPr id="223" name="Straight Arrow Connector 222"/>
        <xdr:cNvCxnSpPr/>
      </xdr:nvCxnSpPr>
      <xdr:spPr bwMode="auto">
        <a:xfrm flipV="1">
          <a:off x="4631532" y="18180844"/>
          <a:ext cx="23812" cy="381001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</xdr:col>
      <xdr:colOff>3274219</xdr:colOff>
      <xdr:row>75</xdr:row>
      <xdr:rowOff>50006</xdr:rowOff>
    </xdr:from>
    <xdr:to>
      <xdr:col>2</xdr:col>
      <xdr:colOff>4155281</xdr:colOff>
      <xdr:row>75</xdr:row>
      <xdr:rowOff>50006</xdr:rowOff>
    </xdr:to>
    <xdr:cxnSp macro="">
      <xdr:nvCxnSpPr>
        <xdr:cNvPr id="225" name="Straight Arrow Connector 224"/>
        <xdr:cNvCxnSpPr/>
      </xdr:nvCxnSpPr>
      <xdr:spPr bwMode="auto">
        <a:xfrm>
          <a:off x="4702969" y="17966531"/>
          <a:ext cx="881062" cy="0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</xdr:col>
      <xdr:colOff>6211729</xdr:colOff>
      <xdr:row>74</xdr:row>
      <xdr:rowOff>159068</xdr:rowOff>
    </xdr:from>
    <xdr:to>
      <xdr:col>2</xdr:col>
      <xdr:colOff>6247447</xdr:colOff>
      <xdr:row>76</xdr:row>
      <xdr:rowOff>123349</xdr:rowOff>
    </xdr:to>
    <xdr:cxnSp macro="">
      <xdr:nvCxnSpPr>
        <xdr:cNvPr id="227" name="Straight Arrow Connector 226"/>
        <xdr:cNvCxnSpPr/>
      </xdr:nvCxnSpPr>
      <xdr:spPr bwMode="auto">
        <a:xfrm flipH="1">
          <a:off x="7655719" y="17883188"/>
          <a:ext cx="11906" cy="345281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2</xdr:col>
      <xdr:colOff>3274219</xdr:colOff>
      <xdr:row>74</xdr:row>
      <xdr:rowOff>161449</xdr:rowOff>
    </xdr:from>
    <xdr:to>
      <xdr:col>2</xdr:col>
      <xdr:colOff>6238876</xdr:colOff>
      <xdr:row>78</xdr:row>
      <xdr:rowOff>85817</xdr:rowOff>
    </xdr:to>
    <xdr:cxnSp macro="">
      <xdr:nvCxnSpPr>
        <xdr:cNvPr id="228" name="Straight Arrow Connector 227"/>
        <xdr:cNvCxnSpPr/>
      </xdr:nvCxnSpPr>
      <xdr:spPr bwMode="auto">
        <a:xfrm flipV="1">
          <a:off x="4702969" y="17895094"/>
          <a:ext cx="2964657" cy="678656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916781</xdr:colOff>
      <xdr:row>52</xdr:row>
      <xdr:rowOff>85725</xdr:rowOff>
    </xdr:from>
    <xdr:to>
      <xdr:col>3</xdr:col>
      <xdr:colOff>1825014</xdr:colOff>
      <xdr:row>52</xdr:row>
      <xdr:rowOff>85725</xdr:rowOff>
    </xdr:to>
    <xdr:cxnSp macro="">
      <xdr:nvCxnSpPr>
        <xdr:cNvPr id="230" name="Straight Arrow Connector 229"/>
        <xdr:cNvCxnSpPr/>
      </xdr:nvCxnSpPr>
      <xdr:spPr bwMode="auto">
        <a:xfrm>
          <a:off x="11191875" y="13620750"/>
          <a:ext cx="892969" cy="0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</xdr:col>
      <xdr:colOff>686276</xdr:colOff>
      <xdr:row>53</xdr:row>
      <xdr:rowOff>71438</xdr:rowOff>
    </xdr:from>
    <xdr:to>
      <xdr:col>5</xdr:col>
      <xdr:colOff>10</xdr:colOff>
      <xdr:row>53</xdr:row>
      <xdr:rowOff>83344</xdr:rowOff>
    </xdr:to>
    <xdr:cxnSp macro="">
      <xdr:nvCxnSpPr>
        <xdr:cNvPr id="231" name="Straight Arrow Connector 230"/>
        <xdr:cNvCxnSpPr/>
      </xdr:nvCxnSpPr>
      <xdr:spPr bwMode="auto">
        <a:xfrm>
          <a:off x="10953750" y="13787438"/>
          <a:ext cx="1869281" cy="11906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1071562</xdr:colOff>
      <xdr:row>54</xdr:row>
      <xdr:rowOff>85725</xdr:rowOff>
    </xdr:from>
    <xdr:to>
      <xdr:col>4</xdr:col>
      <xdr:colOff>250031</xdr:colOff>
      <xdr:row>54</xdr:row>
      <xdr:rowOff>85725</xdr:rowOff>
    </xdr:to>
    <xdr:cxnSp macro="">
      <xdr:nvCxnSpPr>
        <xdr:cNvPr id="232" name="Straight Arrow Connector 231"/>
        <xdr:cNvCxnSpPr/>
      </xdr:nvCxnSpPr>
      <xdr:spPr bwMode="auto">
        <a:xfrm>
          <a:off x="11346656" y="14001750"/>
          <a:ext cx="1035844" cy="0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1119187</xdr:colOff>
      <xdr:row>55</xdr:row>
      <xdr:rowOff>83344</xdr:rowOff>
    </xdr:from>
    <xdr:to>
      <xdr:col>3</xdr:col>
      <xdr:colOff>1845469</xdr:colOff>
      <xdr:row>55</xdr:row>
      <xdr:rowOff>89297</xdr:rowOff>
    </xdr:to>
    <xdr:cxnSp macro="">
      <xdr:nvCxnSpPr>
        <xdr:cNvPr id="233" name="Straight Arrow Connector 232"/>
        <xdr:cNvCxnSpPr/>
      </xdr:nvCxnSpPr>
      <xdr:spPr bwMode="auto">
        <a:xfrm>
          <a:off x="11394281" y="14180344"/>
          <a:ext cx="726282" cy="11906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1188720</xdr:colOff>
      <xdr:row>56</xdr:row>
      <xdr:rowOff>83820</xdr:rowOff>
    </xdr:from>
    <xdr:to>
      <xdr:col>4</xdr:col>
      <xdr:colOff>487680</xdr:colOff>
      <xdr:row>56</xdr:row>
      <xdr:rowOff>106680</xdr:rowOff>
    </xdr:to>
    <xdr:cxnSp macro="">
      <xdr:nvCxnSpPr>
        <xdr:cNvPr id="21282" name="Straight Arrow Connector 233"/>
        <xdr:cNvCxnSpPr>
          <a:cxnSpLocks noChangeShapeType="1"/>
        </xdr:cNvCxnSpPr>
      </xdr:nvCxnSpPr>
      <xdr:spPr bwMode="auto">
        <a:xfrm flipV="1">
          <a:off x="11605260" y="11353800"/>
          <a:ext cx="1158240" cy="22860"/>
        </a:xfrm>
        <a:prstGeom prst="straightConnector1">
          <a:avLst/>
        </a:prstGeom>
        <a:noFill/>
        <a:ln w="381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med" len="med"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1106329</xdr:colOff>
      <xdr:row>70</xdr:row>
      <xdr:rowOff>85725</xdr:rowOff>
    </xdr:from>
    <xdr:to>
      <xdr:col>3</xdr:col>
      <xdr:colOff>1829374</xdr:colOff>
      <xdr:row>70</xdr:row>
      <xdr:rowOff>85725</xdr:rowOff>
    </xdr:to>
    <xdr:cxnSp macro="">
      <xdr:nvCxnSpPr>
        <xdr:cNvPr id="235" name="Straight Arrow Connector 234"/>
        <xdr:cNvCxnSpPr/>
      </xdr:nvCxnSpPr>
      <xdr:spPr bwMode="auto">
        <a:xfrm>
          <a:off x="11358563" y="17049750"/>
          <a:ext cx="738187" cy="0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</xdr:col>
      <xdr:colOff>988219</xdr:colOff>
      <xdr:row>71</xdr:row>
      <xdr:rowOff>83344</xdr:rowOff>
    </xdr:from>
    <xdr:to>
      <xdr:col>5</xdr:col>
      <xdr:colOff>0</xdr:colOff>
      <xdr:row>71</xdr:row>
      <xdr:rowOff>83344</xdr:rowOff>
    </xdr:to>
    <xdr:cxnSp macro="">
      <xdr:nvCxnSpPr>
        <xdr:cNvPr id="236" name="Straight Arrow Connector 235"/>
        <xdr:cNvCxnSpPr/>
      </xdr:nvCxnSpPr>
      <xdr:spPr bwMode="auto">
        <a:xfrm>
          <a:off x="11263313" y="10179844"/>
          <a:ext cx="1559718" cy="0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1071562</xdr:colOff>
      <xdr:row>72</xdr:row>
      <xdr:rowOff>83344</xdr:rowOff>
    </xdr:from>
    <xdr:to>
      <xdr:col>4</xdr:col>
      <xdr:colOff>285750</xdr:colOff>
      <xdr:row>72</xdr:row>
      <xdr:rowOff>89297</xdr:rowOff>
    </xdr:to>
    <xdr:cxnSp macro="">
      <xdr:nvCxnSpPr>
        <xdr:cNvPr id="237" name="Straight Arrow Connector 236"/>
        <xdr:cNvCxnSpPr/>
      </xdr:nvCxnSpPr>
      <xdr:spPr bwMode="auto">
        <a:xfrm flipV="1">
          <a:off x="11346656" y="17418844"/>
          <a:ext cx="1071563" cy="11906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1119187</xdr:colOff>
      <xdr:row>73</xdr:row>
      <xdr:rowOff>83344</xdr:rowOff>
    </xdr:from>
    <xdr:to>
      <xdr:col>4</xdr:col>
      <xdr:colOff>115853</xdr:colOff>
      <xdr:row>73</xdr:row>
      <xdr:rowOff>83344</xdr:rowOff>
    </xdr:to>
    <xdr:cxnSp macro="">
      <xdr:nvCxnSpPr>
        <xdr:cNvPr id="238" name="Straight Arrow Connector 237"/>
        <xdr:cNvCxnSpPr/>
      </xdr:nvCxnSpPr>
      <xdr:spPr bwMode="auto">
        <a:xfrm>
          <a:off x="11394281" y="17609344"/>
          <a:ext cx="869157" cy="0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1165860</xdr:colOff>
      <xdr:row>74</xdr:row>
      <xdr:rowOff>83820</xdr:rowOff>
    </xdr:from>
    <xdr:to>
      <xdr:col>4</xdr:col>
      <xdr:colOff>381000</xdr:colOff>
      <xdr:row>74</xdr:row>
      <xdr:rowOff>99060</xdr:rowOff>
    </xdr:to>
    <xdr:cxnSp macro="">
      <xdr:nvCxnSpPr>
        <xdr:cNvPr id="21287" name="Straight Arrow Connector 238"/>
        <xdr:cNvCxnSpPr>
          <a:cxnSpLocks noChangeShapeType="1"/>
        </xdr:cNvCxnSpPr>
      </xdr:nvCxnSpPr>
      <xdr:spPr bwMode="auto">
        <a:xfrm flipV="1">
          <a:off x="11582400" y="14782800"/>
          <a:ext cx="1074420" cy="15240"/>
        </a:xfrm>
        <a:prstGeom prst="straightConnector1">
          <a:avLst/>
        </a:prstGeom>
        <a:noFill/>
        <a:ln w="381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med" len="med"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3550920</xdr:colOff>
      <xdr:row>40</xdr:row>
      <xdr:rowOff>106680</xdr:rowOff>
    </xdr:from>
    <xdr:to>
      <xdr:col>2</xdr:col>
      <xdr:colOff>4892040</xdr:colOff>
      <xdr:row>40</xdr:row>
      <xdr:rowOff>106680</xdr:rowOff>
    </xdr:to>
    <xdr:cxnSp macro="">
      <xdr:nvCxnSpPr>
        <xdr:cNvPr id="21288" name="Straight Arrow Connector 243"/>
        <xdr:cNvCxnSpPr>
          <a:cxnSpLocks noChangeShapeType="1"/>
        </xdr:cNvCxnSpPr>
      </xdr:nvCxnSpPr>
      <xdr:spPr bwMode="auto">
        <a:xfrm>
          <a:off x="5120640" y="8328660"/>
          <a:ext cx="1341120" cy="0"/>
        </a:xfrm>
        <a:prstGeom prst="straightConnector1">
          <a:avLst/>
        </a:prstGeom>
        <a:noFill/>
        <a:ln w="38100" algn="ctr">
          <a:solidFill>
            <a:srgbClr val="FF0000"/>
          </a:solidFill>
          <a:prstDash val="dash"/>
          <a:round/>
          <a:headEnd type="arrow" w="med" len="med"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1097280</xdr:colOff>
      <xdr:row>39</xdr:row>
      <xdr:rowOff>83820</xdr:rowOff>
    </xdr:from>
    <xdr:to>
      <xdr:col>4</xdr:col>
      <xdr:colOff>198120</xdr:colOff>
      <xdr:row>39</xdr:row>
      <xdr:rowOff>83820</xdr:rowOff>
    </xdr:to>
    <xdr:cxnSp macro="">
      <xdr:nvCxnSpPr>
        <xdr:cNvPr id="21289" name="Straight Arrow Connector 258"/>
        <xdr:cNvCxnSpPr>
          <a:cxnSpLocks noChangeShapeType="1"/>
        </xdr:cNvCxnSpPr>
      </xdr:nvCxnSpPr>
      <xdr:spPr bwMode="auto">
        <a:xfrm>
          <a:off x="11513820" y="8115300"/>
          <a:ext cx="960120" cy="0"/>
        </a:xfrm>
        <a:prstGeom prst="straightConnector1">
          <a:avLst/>
        </a:prstGeom>
        <a:noFill/>
        <a:ln w="38100" algn="ctr">
          <a:solidFill>
            <a:srgbClr val="FF0000"/>
          </a:solidFill>
          <a:prstDash val="dash"/>
          <a:round/>
          <a:headEnd type="arrow" w="med" len="med"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4160520</xdr:colOff>
      <xdr:row>57</xdr:row>
      <xdr:rowOff>144780</xdr:rowOff>
    </xdr:from>
    <xdr:to>
      <xdr:col>2</xdr:col>
      <xdr:colOff>5280660</xdr:colOff>
      <xdr:row>57</xdr:row>
      <xdr:rowOff>152400</xdr:rowOff>
    </xdr:to>
    <xdr:cxnSp macro="">
      <xdr:nvCxnSpPr>
        <xdr:cNvPr id="21290" name="Straight Arrow Connector 260"/>
        <xdr:cNvCxnSpPr>
          <a:cxnSpLocks noChangeShapeType="1"/>
        </xdr:cNvCxnSpPr>
      </xdr:nvCxnSpPr>
      <xdr:spPr bwMode="auto">
        <a:xfrm flipV="1">
          <a:off x="5730240" y="11605260"/>
          <a:ext cx="1120140" cy="7620"/>
        </a:xfrm>
        <a:prstGeom prst="straightConnector1">
          <a:avLst/>
        </a:prstGeom>
        <a:noFill/>
        <a:ln w="38100" algn="ctr">
          <a:solidFill>
            <a:srgbClr val="FF0000"/>
          </a:solidFill>
          <a:prstDash val="dash"/>
          <a:round/>
          <a:headEnd type="arrow" w="med" len="med"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1097280</xdr:colOff>
      <xdr:row>57</xdr:row>
      <xdr:rowOff>83820</xdr:rowOff>
    </xdr:from>
    <xdr:to>
      <xdr:col>4</xdr:col>
      <xdr:colOff>198120</xdr:colOff>
      <xdr:row>57</xdr:row>
      <xdr:rowOff>83820</xdr:rowOff>
    </xdr:to>
    <xdr:cxnSp macro="">
      <xdr:nvCxnSpPr>
        <xdr:cNvPr id="21291" name="Straight Arrow Connector 263"/>
        <xdr:cNvCxnSpPr>
          <a:cxnSpLocks noChangeShapeType="1"/>
        </xdr:cNvCxnSpPr>
      </xdr:nvCxnSpPr>
      <xdr:spPr bwMode="auto">
        <a:xfrm>
          <a:off x="11513820" y="11544300"/>
          <a:ext cx="960120" cy="0"/>
        </a:xfrm>
        <a:prstGeom prst="straightConnector1">
          <a:avLst/>
        </a:prstGeom>
        <a:noFill/>
        <a:ln w="38100" algn="ctr">
          <a:solidFill>
            <a:srgbClr val="FF0000"/>
          </a:solidFill>
          <a:prstDash val="dash"/>
          <a:round/>
          <a:headEnd type="arrow" w="med" len="med"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1097280</xdr:colOff>
      <xdr:row>75</xdr:row>
      <xdr:rowOff>83820</xdr:rowOff>
    </xdr:from>
    <xdr:to>
      <xdr:col>4</xdr:col>
      <xdr:colOff>198120</xdr:colOff>
      <xdr:row>75</xdr:row>
      <xdr:rowOff>83820</xdr:rowOff>
    </xdr:to>
    <xdr:cxnSp macro="">
      <xdr:nvCxnSpPr>
        <xdr:cNvPr id="21292" name="Straight Arrow Connector 264"/>
        <xdr:cNvCxnSpPr>
          <a:cxnSpLocks noChangeShapeType="1"/>
        </xdr:cNvCxnSpPr>
      </xdr:nvCxnSpPr>
      <xdr:spPr bwMode="auto">
        <a:xfrm>
          <a:off x="11513820" y="14973300"/>
          <a:ext cx="960120" cy="0"/>
        </a:xfrm>
        <a:prstGeom prst="straightConnector1">
          <a:avLst/>
        </a:prstGeom>
        <a:noFill/>
        <a:ln w="38100" algn="ctr">
          <a:solidFill>
            <a:srgbClr val="FF0000"/>
          </a:solidFill>
          <a:prstDash val="dash"/>
          <a:round/>
          <a:headEnd type="arrow" w="med" len="med"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4152900</xdr:colOff>
      <xdr:row>74</xdr:row>
      <xdr:rowOff>144780</xdr:rowOff>
    </xdr:from>
    <xdr:to>
      <xdr:col>2</xdr:col>
      <xdr:colOff>4991100</xdr:colOff>
      <xdr:row>74</xdr:row>
      <xdr:rowOff>152400</xdr:rowOff>
    </xdr:to>
    <xdr:cxnSp macro="">
      <xdr:nvCxnSpPr>
        <xdr:cNvPr id="21293" name="Straight Arrow Connector 265"/>
        <xdr:cNvCxnSpPr>
          <a:cxnSpLocks noChangeShapeType="1"/>
        </xdr:cNvCxnSpPr>
      </xdr:nvCxnSpPr>
      <xdr:spPr bwMode="auto">
        <a:xfrm flipV="1">
          <a:off x="5722620" y="14843760"/>
          <a:ext cx="838200" cy="7620"/>
        </a:xfrm>
        <a:prstGeom prst="straightConnector1">
          <a:avLst/>
        </a:prstGeom>
        <a:noFill/>
        <a:ln w="38100" algn="ctr">
          <a:solidFill>
            <a:srgbClr val="FF0000"/>
          </a:solidFill>
          <a:prstDash val="dash"/>
          <a:round/>
          <a:headEnd type="arrow" w="med" len="med"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7620</xdr:colOff>
      <xdr:row>93</xdr:row>
      <xdr:rowOff>182880</xdr:rowOff>
    </xdr:from>
    <xdr:to>
      <xdr:col>2</xdr:col>
      <xdr:colOff>3528060</xdr:colOff>
      <xdr:row>98</xdr:row>
      <xdr:rowOff>0</xdr:rowOff>
    </xdr:to>
    <xdr:sp macro="" textlink="">
      <xdr:nvSpPr>
        <xdr:cNvPr id="21294" name="Freeform 51"/>
        <xdr:cNvSpPr>
          <a:spLocks/>
        </xdr:cNvSpPr>
      </xdr:nvSpPr>
      <xdr:spPr bwMode="auto">
        <a:xfrm>
          <a:off x="1577340" y="18806160"/>
          <a:ext cx="3520440" cy="1036320"/>
        </a:xfrm>
        <a:custGeom>
          <a:avLst/>
          <a:gdLst>
            <a:gd name="T0" fmla="*/ 0 w 3512344"/>
            <a:gd name="T1" fmla="*/ 2147483646 h 773906"/>
            <a:gd name="T2" fmla="*/ 2646250 w 3512344"/>
            <a:gd name="T3" fmla="*/ 2147483646 h 773906"/>
            <a:gd name="T4" fmla="*/ 3630899 w 3512344"/>
            <a:gd name="T5" fmla="*/ 0 h 773906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3512344" h="773906">
              <a:moveTo>
                <a:pt x="0" y="773906"/>
              </a:moveTo>
              <a:cubicBezTo>
                <a:pt x="987226" y="755054"/>
                <a:pt x="1974453" y="736203"/>
                <a:pt x="2559844" y="607219"/>
              </a:cubicBezTo>
              <a:cubicBezTo>
                <a:pt x="3145235" y="478235"/>
                <a:pt x="3328789" y="239117"/>
                <a:pt x="3512344" y="0"/>
              </a:cubicBez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3535680</xdr:colOff>
      <xdr:row>92</xdr:row>
      <xdr:rowOff>0</xdr:rowOff>
    </xdr:from>
    <xdr:to>
      <xdr:col>2</xdr:col>
      <xdr:colOff>6187440</xdr:colOff>
      <xdr:row>93</xdr:row>
      <xdr:rowOff>175260</xdr:rowOff>
    </xdr:to>
    <xdr:cxnSp macro="">
      <xdr:nvCxnSpPr>
        <xdr:cNvPr id="21295" name="Straight Connector 53"/>
        <xdr:cNvCxnSpPr>
          <a:cxnSpLocks noChangeShapeType="1"/>
        </xdr:cNvCxnSpPr>
      </xdr:nvCxnSpPr>
      <xdr:spPr bwMode="auto">
        <a:xfrm flipV="1">
          <a:off x="5105400" y="18127980"/>
          <a:ext cx="2651760" cy="67056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6202680</xdr:colOff>
      <xdr:row>87</xdr:row>
      <xdr:rowOff>30480</xdr:rowOff>
    </xdr:from>
    <xdr:to>
      <xdr:col>2</xdr:col>
      <xdr:colOff>6865620</xdr:colOff>
      <xdr:row>91</xdr:row>
      <xdr:rowOff>182880</xdr:rowOff>
    </xdr:to>
    <xdr:cxnSp macro="">
      <xdr:nvCxnSpPr>
        <xdr:cNvPr id="21296" name="Straight Connector 56"/>
        <xdr:cNvCxnSpPr>
          <a:cxnSpLocks noChangeShapeType="1"/>
        </xdr:cNvCxnSpPr>
      </xdr:nvCxnSpPr>
      <xdr:spPr bwMode="auto">
        <a:xfrm flipV="1">
          <a:off x="7772400" y="17205960"/>
          <a:ext cx="662940" cy="91440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2407920</xdr:colOff>
      <xdr:row>87</xdr:row>
      <xdr:rowOff>30480</xdr:rowOff>
    </xdr:from>
    <xdr:to>
      <xdr:col>2</xdr:col>
      <xdr:colOff>6865620</xdr:colOff>
      <xdr:row>87</xdr:row>
      <xdr:rowOff>137160</xdr:rowOff>
    </xdr:to>
    <xdr:cxnSp macro="">
      <xdr:nvCxnSpPr>
        <xdr:cNvPr id="21297" name="Straight Connector 59"/>
        <xdr:cNvCxnSpPr>
          <a:cxnSpLocks noChangeShapeType="1"/>
        </xdr:cNvCxnSpPr>
      </xdr:nvCxnSpPr>
      <xdr:spPr bwMode="auto">
        <a:xfrm flipH="1">
          <a:off x="3977640" y="17205960"/>
          <a:ext cx="4457700" cy="10668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270510</xdr:colOff>
      <xdr:row>93</xdr:row>
      <xdr:rowOff>154781</xdr:rowOff>
    </xdr:from>
    <xdr:to>
      <xdr:col>2</xdr:col>
      <xdr:colOff>8062440</xdr:colOff>
      <xdr:row>93</xdr:row>
      <xdr:rowOff>178595</xdr:rowOff>
    </xdr:to>
    <xdr:cxnSp macro="">
      <xdr:nvCxnSpPr>
        <xdr:cNvPr id="90" name="Straight Connector 89"/>
        <xdr:cNvCxnSpPr/>
      </xdr:nvCxnSpPr>
      <xdr:spPr bwMode="auto">
        <a:xfrm>
          <a:off x="1714500" y="18442781"/>
          <a:ext cx="7774781" cy="11907"/>
        </a:xfrm>
        <a:prstGeom prst="line">
          <a:avLst/>
        </a:prstGeom>
        <a:ln>
          <a:headEnd type="none" w="med" len="med"/>
          <a:tailEnd type="none" w="med" len="med"/>
        </a:ln>
        <a:extLst/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3528060</xdr:colOff>
      <xdr:row>86</xdr:row>
      <xdr:rowOff>45720</xdr:rowOff>
    </xdr:from>
    <xdr:to>
      <xdr:col>2</xdr:col>
      <xdr:colOff>3550920</xdr:colOff>
      <xdr:row>99</xdr:row>
      <xdr:rowOff>106680</xdr:rowOff>
    </xdr:to>
    <xdr:cxnSp macro="">
      <xdr:nvCxnSpPr>
        <xdr:cNvPr id="21299" name="Straight Connector 134"/>
        <xdr:cNvCxnSpPr>
          <a:cxnSpLocks noChangeShapeType="1"/>
        </xdr:cNvCxnSpPr>
      </xdr:nvCxnSpPr>
      <xdr:spPr bwMode="auto">
        <a:xfrm flipH="1">
          <a:off x="5097780" y="17030700"/>
          <a:ext cx="22860" cy="310896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5143500</xdr:colOff>
      <xdr:row>86</xdr:row>
      <xdr:rowOff>30480</xdr:rowOff>
    </xdr:from>
    <xdr:to>
      <xdr:col>2</xdr:col>
      <xdr:colOff>5151120</xdr:colOff>
      <xdr:row>98</xdr:row>
      <xdr:rowOff>167640</xdr:rowOff>
    </xdr:to>
    <xdr:cxnSp macro="">
      <xdr:nvCxnSpPr>
        <xdr:cNvPr id="21300" name="Straight Connector 138"/>
        <xdr:cNvCxnSpPr>
          <a:cxnSpLocks noChangeShapeType="1"/>
        </xdr:cNvCxnSpPr>
      </xdr:nvCxnSpPr>
      <xdr:spPr bwMode="auto">
        <a:xfrm>
          <a:off x="6713220" y="17015460"/>
          <a:ext cx="7620" cy="299466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6149340</xdr:colOff>
      <xdr:row>86</xdr:row>
      <xdr:rowOff>121920</xdr:rowOff>
    </xdr:from>
    <xdr:to>
      <xdr:col>2</xdr:col>
      <xdr:colOff>6187440</xdr:colOff>
      <xdr:row>99</xdr:row>
      <xdr:rowOff>83820</xdr:rowOff>
    </xdr:to>
    <xdr:cxnSp macro="">
      <xdr:nvCxnSpPr>
        <xdr:cNvPr id="21301" name="Straight Connector 142"/>
        <xdr:cNvCxnSpPr>
          <a:cxnSpLocks noChangeShapeType="1"/>
        </xdr:cNvCxnSpPr>
      </xdr:nvCxnSpPr>
      <xdr:spPr bwMode="auto">
        <a:xfrm>
          <a:off x="7719060" y="17106900"/>
          <a:ext cx="38100" cy="300990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916781</xdr:colOff>
      <xdr:row>85</xdr:row>
      <xdr:rowOff>85725</xdr:rowOff>
    </xdr:from>
    <xdr:to>
      <xdr:col>3</xdr:col>
      <xdr:colOff>1833562</xdr:colOff>
      <xdr:row>85</xdr:row>
      <xdr:rowOff>85725</xdr:rowOff>
    </xdr:to>
    <xdr:cxnSp macro="">
      <xdr:nvCxnSpPr>
        <xdr:cNvPr id="99" name="Straight Arrow Connector 98"/>
        <xdr:cNvCxnSpPr/>
      </xdr:nvCxnSpPr>
      <xdr:spPr bwMode="auto">
        <a:xfrm>
          <a:off x="11191875" y="6953250"/>
          <a:ext cx="916781" cy="0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607219</xdr:colOff>
      <xdr:row>86</xdr:row>
      <xdr:rowOff>71438</xdr:rowOff>
    </xdr:from>
    <xdr:to>
      <xdr:col>4</xdr:col>
      <xdr:colOff>647224</xdr:colOff>
      <xdr:row>86</xdr:row>
      <xdr:rowOff>71438</xdr:rowOff>
    </xdr:to>
    <xdr:cxnSp macro="">
      <xdr:nvCxnSpPr>
        <xdr:cNvPr id="101" name="Straight Arrow Connector 100"/>
        <xdr:cNvCxnSpPr/>
      </xdr:nvCxnSpPr>
      <xdr:spPr bwMode="auto">
        <a:xfrm>
          <a:off x="10882313" y="7119938"/>
          <a:ext cx="1905000" cy="0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1071562</xdr:colOff>
      <xdr:row>87</xdr:row>
      <xdr:rowOff>83344</xdr:rowOff>
    </xdr:from>
    <xdr:to>
      <xdr:col>4</xdr:col>
      <xdr:colOff>214312</xdr:colOff>
      <xdr:row>87</xdr:row>
      <xdr:rowOff>89297</xdr:rowOff>
    </xdr:to>
    <xdr:cxnSp macro="">
      <xdr:nvCxnSpPr>
        <xdr:cNvPr id="102" name="Straight Arrow Connector 101"/>
        <xdr:cNvCxnSpPr/>
      </xdr:nvCxnSpPr>
      <xdr:spPr bwMode="auto">
        <a:xfrm flipV="1">
          <a:off x="11346656" y="7322344"/>
          <a:ext cx="1000125" cy="11906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1119187</xdr:colOff>
      <xdr:row>88</xdr:row>
      <xdr:rowOff>83344</xdr:rowOff>
    </xdr:from>
    <xdr:to>
      <xdr:col>3</xdr:col>
      <xdr:colOff>1845469</xdr:colOff>
      <xdr:row>88</xdr:row>
      <xdr:rowOff>83344</xdr:rowOff>
    </xdr:to>
    <xdr:cxnSp macro="">
      <xdr:nvCxnSpPr>
        <xdr:cNvPr id="103" name="Straight Arrow Connector 102"/>
        <xdr:cNvCxnSpPr/>
      </xdr:nvCxnSpPr>
      <xdr:spPr bwMode="auto">
        <a:xfrm>
          <a:off x="11394281" y="7512844"/>
          <a:ext cx="726282" cy="0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1165860</xdr:colOff>
      <xdr:row>89</xdr:row>
      <xdr:rowOff>99060</xdr:rowOff>
    </xdr:from>
    <xdr:to>
      <xdr:col>4</xdr:col>
      <xdr:colOff>464820</xdr:colOff>
      <xdr:row>89</xdr:row>
      <xdr:rowOff>99060</xdr:rowOff>
    </xdr:to>
    <xdr:cxnSp macro="">
      <xdr:nvCxnSpPr>
        <xdr:cNvPr id="21306" name="Straight Arrow Connector 5133"/>
        <xdr:cNvCxnSpPr>
          <a:cxnSpLocks noChangeShapeType="1"/>
        </xdr:cNvCxnSpPr>
      </xdr:nvCxnSpPr>
      <xdr:spPr bwMode="auto">
        <a:xfrm>
          <a:off x="11582400" y="17655540"/>
          <a:ext cx="1158240" cy="0"/>
        </a:xfrm>
        <a:prstGeom prst="straightConnector1">
          <a:avLst/>
        </a:prstGeom>
        <a:noFill/>
        <a:ln w="381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med" len="med"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2834640</xdr:colOff>
      <xdr:row>86</xdr:row>
      <xdr:rowOff>144780</xdr:rowOff>
    </xdr:from>
    <xdr:to>
      <xdr:col>2</xdr:col>
      <xdr:colOff>2887980</xdr:colOff>
      <xdr:row>99</xdr:row>
      <xdr:rowOff>76200</xdr:rowOff>
    </xdr:to>
    <xdr:cxnSp macro="">
      <xdr:nvCxnSpPr>
        <xdr:cNvPr id="21307" name="Straight Connector 171"/>
        <xdr:cNvCxnSpPr>
          <a:cxnSpLocks noChangeShapeType="1"/>
        </xdr:cNvCxnSpPr>
      </xdr:nvCxnSpPr>
      <xdr:spPr bwMode="auto">
        <a:xfrm flipV="1">
          <a:off x="4404360" y="17129760"/>
          <a:ext cx="53340" cy="297942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1097280</xdr:colOff>
      <xdr:row>90</xdr:row>
      <xdr:rowOff>83820</xdr:rowOff>
    </xdr:from>
    <xdr:to>
      <xdr:col>4</xdr:col>
      <xdr:colOff>198120</xdr:colOff>
      <xdr:row>90</xdr:row>
      <xdr:rowOff>83820</xdr:rowOff>
    </xdr:to>
    <xdr:cxnSp macro="">
      <xdr:nvCxnSpPr>
        <xdr:cNvPr id="21308" name="Straight Arrow Connector 258"/>
        <xdr:cNvCxnSpPr>
          <a:cxnSpLocks noChangeShapeType="1"/>
        </xdr:cNvCxnSpPr>
      </xdr:nvCxnSpPr>
      <xdr:spPr bwMode="auto">
        <a:xfrm>
          <a:off x="11513820" y="17830800"/>
          <a:ext cx="960120" cy="0"/>
        </a:xfrm>
        <a:prstGeom prst="straightConnector1">
          <a:avLst/>
        </a:prstGeom>
        <a:noFill/>
        <a:ln w="38100" algn="ctr">
          <a:solidFill>
            <a:srgbClr val="FF0000"/>
          </a:solidFill>
          <a:prstDash val="dash"/>
          <a:round/>
          <a:headEnd type="arrow" w="med" len="med"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916781</xdr:colOff>
      <xdr:row>92</xdr:row>
      <xdr:rowOff>261938</xdr:rowOff>
    </xdr:from>
    <xdr:to>
      <xdr:col>2</xdr:col>
      <xdr:colOff>7890523</xdr:colOff>
      <xdr:row>92</xdr:row>
      <xdr:rowOff>273845</xdr:rowOff>
    </xdr:to>
    <xdr:cxnSp macro="">
      <xdr:nvCxnSpPr>
        <xdr:cNvPr id="8" name="Straight Connector 7"/>
        <xdr:cNvCxnSpPr/>
      </xdr:nvCxnSpPr>
      <xdr:spPr bwMode="auto">
        <a:xfrm>
          <a:off x="2345531" y="18359438"/>
          <a:ext cx="6988968" cy="23813"/>
        </a:xfrm>
        <a:prstGeom prst="line">
          <a:avLst/>
        </a:prstGeom>
        <a:ln>
          <a:headEnd type="none" w="med" len="med"/>
          <a:tailEnd type="none" w="med" len="med"/>
        </a:ln>
        <a:extLst/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7840980</xdr:colOff>
      <xdr:row>92</xdr:row>
      <xdr:rowOff>266700</xdr:rowOff>
    </xdr:from>
    <xdr:to>
      <xdr:col>2</xdr:col>
      <xdr:colOff>7856220</xdr:colOff>
      <xdr:row>93</xdr:row>
      <xdr:rowOff>198120</xdr:rowOff>
    </xdr:to>
    <xdr:cxnSp macro="">
      <xdr:nvCxnSpPr>
        <xdr:cNvPr id="21310" name="Straight Arrow Connector 215"/>
        <xdr:cNvCxnSpPr>
          <a:cxnSpLocks noChangeShapeType="1"/>
        </xdr:cNvCxnSpPr>
      </xdr:nvCxnSpPr>
      <xdr:spPr bwMode="auto">
        <a:xfrm>
          <a:off x="9410700" y="18394680"/>
          <a:ext cx="15240" cy="426720"/>
        </a:xfrm>
        <a:prstGeom prst="straightConnector1">
          <a:avLst/>
        </a:prstGeom>
        <a:noFill/>
        <a:ln w="381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med" len="med"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6169344</xdr:colOff>
      <xdr:row>91</xdr:row>
      <xdr:rowOff>154781</xdr:rowOff>
    </xdr:from>
    <xdr:to>
      <xdr:col>2</xdr:col>
      <xdr:colOff>6169344</xdr:colOff>
      <xdr:row>92</xdr:row>
      <xdr:rowOff>309562</xdr:rowOff>
    </xdr:to>
    <xdr:cxnSp macro="">
      <xdr:nvCxnSpPr>
        <xdr:cNvPr id="116" name="Straight Arrow Connector 115"/>
        <xdr:cNvCxnSpPr/>
      </xdr:nvCxnSpPr>
      <xdr:spPr bwMode="auto">
        <a:xfrm flipH="1">
          <a:off x="7596189" y="18061781"/>
          <a:ext cx="11906" cy="345281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2778443</xdr:colOff>
      <xdr:row>92</xdr:row>
      <xdr:rowOff>11907</xdr:rowOff>
    </xdr:from>
    <xdr:to>
      <xdr:col>2</xdr:col>
      <xdr:colOff>6171724</xdr:colOff>
      <xdr:row>96</xdr:row>
      <xdr:rowOff>107156</xdr:rowOff>
    </xdr:to>
    <xdr:cxnSp macro="">
      <xdr:nvCxnSpPr>
        <xdr:cNvPr id="119" name="Straight Arrow Connector 118"/>
        <xdr:cNvCxnSpPr/>
      </xdr:nvCxnSpPr>
      <xdr:spPr bwMode="auto">
        <a:xfrm flipV="1">
          <a:off x="4214813" y="18109407"/>
          <a:ext cx="3393281" cy="1428749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2821782</xdr:colOff>
      <xdr:row>92</xdr:row>
      <xdr:rowOff>240506</xdr:rowOff>
    </xdr:from>
    <xdr:to>
      <xdr:col>2</xdr:col>
      <xdr:colOff>2856771</xdr:colOff>
      <xdr:row>96</xdr:row>
      <xdr:rowOff>50008</xdr:rowOff>
    </xdr:to>
    <xdr:cxnSp macro="">
      <xdr:nvCxnSpPr>
        <xdr:cNvPr id="121" name="Straight Arrow Connector 120"/>
        <xdr:cNvCxnSpPr/>
      </xdr:nvCxnSpPr>
      <xdr:spPr bwMode="auto">
        <a:xfrm flipV="1">
          <a:off x="4250532" y="18347531"/>
          <a:ext cx="47624" cy="1143002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2857500</xdr:colOff>
      <xdr:row>91</xdr:row>
      <xdr:rowOff>107156</xdr:rowOff>
    </xdr:from>
    <xdr:to>
      <xdr:col>2</xdr:col>
      <xdr:colOff>5179219</xdr:colOff>
      <xdr:row>91</xdr:row>
      <xdr:rowOff>137297</xdr:rowOff>
    </xdr:to>
    <xdr:cxnSp macro="">
      <xdr:nvCxnSpPr>
        <xdr:cNvPr id="125" name="Straight Arrow Connector 124"/>
        <xdr:cNvCxnSpPr/>
      </xdr:nvCxnSpPr>
      <xdr:spPr bwMode="auto">
        <a:xfrm flipV="1">
          <a:off x="4286250" y="18014156"/>
          <a:ext cx="2321719" cy="11907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1226820</xdr:colOff>
      <xdr:row>1</xdr:row>
      <xdr:rowOff>30480</xdr:rowOff>
    </xdr:from>
    <xdr:to>
      <xdr:col>5</xdr:col>
      <xdr:colOff>7620</xdr:colOff>
      <xdr:row>2</xdr:row>
      <xdr:rowOff>312420</xdr:rowOff>
    </xdr:to>
    <xdr:pic>
      <xdr:nvPicPr>
        <xdr:cNvPr id="21315" name="Grafi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3360" y="220980"/>
          <a:ext cx="132588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1</xdr:row>
      <xdr:rowOff>30480</xdr:rowOff>
    </xdr:from>
    <xdr:to>
      <xdr:col>9</xdr:col>
      <xdr:colOff>670560</xdr:colOff>
      <xdr:row>2</xdr:row>
      <xdr:rowOff>38100</xdr:rowOff>
    </xdr:to>
    <xdr:pic>
      <xdr:nvPicPr>
        <xdr:cNvPr id="10304" name="Grafi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6340" y="419100"/>
          <a:ext cx="120396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419100</xdr:colOff>
      <xdr:row>77</xdr:row>
      <xdr:rowOff>144780</xdr:rowOff>
    </xdr:from>
    <xdr:to>
      <xdr:col>8</xdr:col>
      <xdr:colOff>419100</xdr:colOff>
      <xdr:row>80</xdr:row>
      <xdr:rowOff>30480</xdr:rowOff>
    </xdr:to>
    <xdr:sp macro="" textlink="">
      <xdr:nvSpPr>
        <xdr:cNvPr id="2518" name="Rectangle 72"/>
        <xdr:cNvSpPr>
          <a:spLocks noChangeArrowheads="1"/>
        </xdr:cNvSpPr>
      </xdr:nvSpPr>
      <xdr:spPr bwMode="auto">
        <a:xfrm>
          <a:off x="5646420" y="17183100"/>
          <a:ext cx="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723900</xdr:colOff>
      <xdr:row>2</xdr:row>
      <xdr:rowOff>106680</xdr:rowOff>
    </xdr:from>
    <xdr:to>
      <xdr:col>15</xdr:col>
      <xdr:colOff>304800</xdr:colOff>
      <xdr:row>4</xdr:row>
      <xdr:rowOff>312420</xdr:rowOff>
    </xdr:to>
    <xdr:pic>
      <xdr:nvPicPr>
        <xdr:cNvPr id="2519" name="Grafi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2700" y="845820"/>
          <a:ext cx="2270760" cy="1196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45720</xdr:colOff>
      <xdr:row>49</xdr:row>
      <xdr:rowOff>0</xdr:rowOff>
    </xdr:from>
    <xdr:to>
      <xdr:col>6</xdr:col>
      <xdr:colOff>762000</xdr:colOff>
      <xdr:row>52</xdr:row>
      <xdr:rowOff>236220</xdr:rowOff>
    </xdr:to>
    <xdr:pic>
      <xdr:nvPicPr>
        <xdr:cNvPr id="2520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260" y="11666220"/>
          <a:ext cx="3467100" cy="1234440"/>
        </a:xfrm>
        <a:prstGeom prst="rect">
          <a:avLst/>
        </a:prstGeom>
        <a:noFill/>
        <a:ln w="9525">
          <a:solidFill>
            <a:srgbClr val="5B9BD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30480</xdr:colOff>
      <xdr:row>26</xdr:row>
      <xdr:rowOff>38100</xdr:rowOff>
    </xdr:from>
    <xdr:to>
      <xdr:col>6</xdr:col>
      <xdr:colOff>792480</xdr:colOff>
      <xdr:row>48</xdr:row>
      <xdr:rowOff>114300</xdr:rowOff>
    </xdr:to>
    <xdr:pic>
      <xdr:nvPicPr>
        <xdr:cNvPr id="2521" name="Picture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3020" y="7322820"/>
          <a:ext cx="3512820" cy="426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967740</xdr:colOff>
      <xdr:row>1</xdr:row>
      <xdr:rowOff>45720</xdr:rowOff>
    </xdr:from>
    <xdr:to>
      <xdr:col>10</xdr:col>
      <xdr:colOff>7620</xdr:colOff>
      <xdr:row>3</xdr:row>
      <xdr:rowOff>236220</xdr:rowOff>
    </xdr:to>
    <xdr:pic>
      <xdr:nvPicPr>
        <xdr:cNvPr id="3218" name="Grafi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" y="449580"/>
          <a:ext cx="2506980" cy="1318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289560</xdr:colOff>
      <xdr:row>15</xdr:row>
      <xdr:rowOff>114300</xdr:rowOff>
    </xdr:from>
    <xdr:to>
      <xdr:col>16</xdr:col>
      <xdr:colOff>289560</xdr:colOff>
      <xdr:row>29</xdr:row>
      <xdr:rowOff>60960</xdr:rowOff>
    </xdr:to>
    <xdr:sp macro="" textlink="">
      <xdr:nvSpPr>
        <xdr:cNvPr id="19107" name="Line 2"/>
        <xdr:cNvSpPr>
          <a:spLocks noChangeShapeType="1"/>
        </xdr:cNvSpPr>
      </xdr:nvSpPr>
      <xdr:spPr bwMode="auto">
        <a:xfrm>
          <a:off x="9265920" y="4008120"/>
          <a:ext cx="0" cy="250698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7620</xdr:colOff>
      <xdr:row>29</xdr:row>
      <xdr:rowOff>7620</xdr:rowOff>
    </xdr:from>
    <xdr:to>
      <xdr:col>17</xdr:col>
      <xdr:colOff>7620</xdr:colOff>
      <xdr:row>29</xdr:row>
      <xdr:rowOff>7620</xdr:rowOff>
    </xdr:to>
    <xdr:sp macro="" textlink="">
      <xdr:nvSpPr>
        <xdr:cNvPr id="19108" name="Line 3"/>
        <xdr:cNvSpPr>
          <a:spLocks noChangeShapeType="1"/>
        </xdr:cNvSpPr>
      </xdr:nvSpPr>
      <xdr:spPr bwMode="auto">
        <a:xfrm>
          <a:off x="9624060" y="646176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144780</xdr:colOff>
      <xdr:row>29</xdr:row>
      <xdr:rowOff>160020</xdr:rowOff>
    </xdr:from>
    <xdr:to>
      <xdr:col>18</xdr:col>
      <xdr:colOff>0</xdr:colOff>
      <xdr:row>29</xdr:row>
      <xdr:rowOff>167640</xdr:rowOff>
    </xdr:to>
    <xdr:sp macro="" textlink="">
      <xdr:nvSpPr>
        <xdr:cNvPr id="19109" name="Line 11"/>
        <xdr:cNvSpPr>
          <a:spLocks noChangeShapeType="1"/>
        </xdr:cNvSpPr>
      </xdr:nvSpPr>
      <xdr:spPr bwMode="auto">
        <a:xfrm>
          <a:off x="8382000" y="6614160"/>
          <a:ext cx="1440180" cy="762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266700</xdr:colOff>
      <xdr:row>16</xdr:row>
      <xdr:rowOff>0</xdr:rowOff>
    </xdr:from>
    <xdr:to>
      <xdr:col>16</xdr:col>
      <xdr:colOff>289560</xdr:colOff>
      <xdr:row>28</xdr:row>
      <xdr:rowOff>129540</xdr:rowOff>
    </xdr:to>
    <xdr:sp macro="" textlink="">
      <xdr:nvSpPr>
        <xdr:cNvPr id="19110" name="Freeform 18"/>
        <xdr:cNvSpPr>
          <a:spLocks/>
        </xdr:cNvSpPr>
      </xdr:nvSpPr>
      <xdr:spPr bwMode="auto">
        <a:xfrm flipH="1">
          <a:off x="8503920" y="4084320"/>
          <a:ext cx="762000" cy="2308860"/>
        </a:xfrm>
        <a:custGeom>
          <a:avLst/>
          <a:gdLst>
            <a:gd name="T0" fmla="*/ 2147483646 w 78"/>
            <a:gd name="T1" fmla="*/ 2147483646 h 222"/>
            <a:gd name="T2" fmla="*/ 2147483646 w 78"/>
            <a:gd name="T3" fmla="*/ 2147483646 h 222"/>
            <a:gd name="T4" fmla="*/ 2147483646 w 78"/>
            <a:gd name="T5" fmla="*/ 2147483646 h 222"/>
            <a:gd name="T6" fmla="*/ 0 w 78"/>
            <a:gd name="T7" fmla="*/ 0 h 222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78" h="222">
              <a:moveTo>
                <a:pt x="78" y="222"/>
              </a:moveTo>
              <a:lnTo>
                <a:pt x="78" y="180"/>
              </a:lnTo>
              <a:lnTo>
                <a:pt x="21" y="33"/>
              </a:lnTo>
              <a:lnTo>
                <a:pt x="0" y="0"/>
              </a:lnTo>
            </a:path>
          </a:pathLst>
        </a:custGeom>
        <a:noFill/>
        <a:ln w="1270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266700</xdr:colOff>
      <xdr:row>28</xdr:row>
      <xdr:rowOff>114300</xdr:rowOff>
    </xdr:from>
    <xdr:to>
      <xdr:col>16</xdr:col>
      <xdr:colOff>266700</xdr:colOff>
      <xdr:row>28</xdr:row>
      <xdr:rowOff>160020</xdr:rowOff>
    </xdr:to>
    <xdr:sp macro="" textlink="">
      <xdr:nvSpPr>
        <xdr:cNvPr id="19111" name="Freeform 19"/>
        <xdr:cNvSpPr>
          <a:spLocks/>
        </xdr:cNvSpPr>
      </xdr:nvSpPr>
      <xdr:spPr bwMode="auto">
        <a:xfrm>
          <a:off x="8503920" y="6377940"/>
          <a:ext cx="739140" cy="45720"/>
        </a:xfrm>
        <a:custGeom>
          <a:avLst/>
          <a:gdLst>
            <a:gd name="T0" fmla="*/ 2147483646 w 81"/>
            <a:gd name="T1" fmla="*/ 2147483646 h 4"/>
            <a:gd name="T2" fmla="*/ 2147483646 w 81"/>
            <a:gd name="T3" fmla="*/ 2147483646 h 4"/>
            <a:gd name="T4" fmla="*/ 0 w 81"/>
            <a:gd name="T5" fmla="*/ 0 h 4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81" h="4">
              <a:moveTo>
                <a:pt x="81" y="2"/>
              </a:moveTo>
              <a:cubicBezTo>
                <a:pt x="70" y="3"/>
                <a:pt x="59" y="4"/>
                <a:pt x="46" y="4"/>
              </a:cubicBezTo>
              <a:cubicBezTo>
                <a:pt x="33" y="4"/>
                <a:pt x="16" y="2"/>
                <a:pt x="0" y="0"/>
              </a:cubicBezTo>
            </a:path>
          </a:pathLst>
        </a:custGeom>
        <a:noFill/>
        <a:ln w="1270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16</xdr:col>
      <xdr:colOff>190500</xdr:colOff>
      <xdr:row>31</xdr:row>
      <xdr:rowOff>106680</xdr:rowOff>
    </xdr:from>
    <xdr:to>
      <xdr:col>16</xdr:col>
      <xdr:colOff>274320</xdr:colOff>
      <xdr:row>31</xdr:row>
      <xdr:rowOff>106680</xdr:rowOff>
    </xdr:to>
    <xdr:sp macro="" textlink="">
      <xdr:nvSpPr>
        <xdr:cNvPr id="19112" name="Line 24"/>
        <xdr:cNvSpPr>
          <a:spLocks noChangeShapeType="1"/>
        </xdr:cNvSpPr>
      </xdr:nvSpPr>
      <xdr:spPr bwMode="auto">
        <a:xfrm>
          <a:off x="9166860" y="6941820"/>
          <a:ext cx="838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83820</xdr:colOff>
      <xdr:row>31</xdr:row>
      <xdr:rowOff>106680</xdr:rowOff>
    </xdr:from>
    <xdr:to>
      <xdr:col>16</xdr:col>
      <xdr:colOff>236220</xdr:colOff>
      <xdr:row>31</xdr:row>
      <xdr:rowOff>106680</xdr:rowOff>
    </xdr:to>
    <xdr:sp macro="" textlink="">
      <xdr:nvSpPr>
        <xdr:cNvPr id="19113" name="Line 25"/>
        <xdr:cNvSpPr>
          <a:spLocks noChangeShapeType="1"/>
        </xdr:cNvSpPr>
      </xdr:nvSpPr>
      <xdr:spPr bwMode="auto">
        <a:xfrm flipH="1">
          <a:off x="9060180" y="6941820"/>
          <a:ext cx="152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289560</xdr:colOff>
      <xdr:row>31</xdr:row>
      <xdr:rowOff>114300</xdr:rowOff>
    </xdr:from>
    <xdr:to>
      <xdr:col>16</xdr:col>
      <xdr:colOff>464820</xdr:colOff>
      <xdr:row>31</xdr:row>
      <xdr:rowOff>114300</xdr:rowOff>
    </xdr:to>
    <xdr:sp macro="" textlink="">
      <xdr:nvSpPr>
        <xdr:cNvPr id="19114" name="Line 26"/>
        <xdr:cNvSpPr>
          <a:spLocks noChangeShapeType="1"/>
        </xdr:cNvSpPr>
      </xdr:nvSpPr>
      <xdr:spPr bwMode="auto">
        <a:xfrm flipH="1" flipV="1">
          <a:off x="9265920" y="6949440"/>
          <a:ext cx="1752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114300</xdr:colOff>
      <xdr:row>31</xdr:row>
      <xdr:rowOff>114300</xdr:rowOff>
    </xdr:from>
    <xdr:to>
      <xdr:col>18</xdr:col>
      <xdr:colOff>106680</xdr:colOff>
      <xdr:row>31</xdr:row>
      <xdr:rowOff>114300</xdr:rowOff>
    </xdr:to>
    <xdr:sp macro="" textlink="">
      <xdr:nvSpPr>
        <xdr:cNvPr id="19115" name="Line 27"/>
        <xdr:cNvSpPr>
          <a:spLocks noChangeShapeType="1"/>
        </xdr:cNvSpPr>
      </xdr:nvSpPr>
      <xdr:spPr bwMode="auto">
        <a:xfrm>
          <a:off x="9730740" y="6949440"/>
          <a:ext cx="1981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43</xdr:row>
      <xdr:rowOff>0</xdr:rowOff>
    </xdr:from>
    <xdr:to>
      <xdr:col>21</xdr:col>
      <xdr:colOff>297180</xdr:colOff>
      <xdr:row>43</xdr:row>
      <xdr:rowOff>0</xdr:rowOff>
    </xdr:to>
    <xdr:sp macro="" textlink="">
      <xdr:nvSpPr>
        <xdr:cNvPr id="19116" name="Line 44"/>
        <xdr:cNvSpPr>
          <a:spLocks noChangeShapeType="1"/>
        </xdr:cNvSpPr>
      </xdr:nvSpPr>
      <xdr:spPr bwMode="auto">
        <a:xfrm>
          <a:off x="11026140" y="8930640"/>
          <a:ext cx="297180" cy="0"/>
        </a:xfrm>
        <a:prstGeom prst="line">
          <a:avLst/>
        </a:prstGeom>
        <a:noFill/>
        <a:ln w="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297180</xdr:colOff>
      <xdr:row>42</xdr:row>
      <xdr:rowOff>0</xdr:rowOff>
    </xdr:from>
    <xdr:to>
      <xdr:col>21</xdr:col>
      <xdr:colOff>297180</xdr:colOff>
      <xdr:row>43</xdr:row>
      <xdr:rowOff>0</xdr:rowOff>
    </xdr:to>
    <xdr:sp macro="" textlink="">
      <xdr:nvSpPr>
        <xdr:cNvPr id="19117" name="Line 49"/>
        <xdr:cNvSpPr>
          <a:spLocks noChangeShapeType="1"/>
        </xdr:cNvSpPr>
      </xdr:nvSpPr>
      <xdr:spPr bwMode="auto">
        <a:xfrm flipV="1">
          <a:off x="11323320" y="8839200"/>
          <a:ext cx="0" cy="91440"/>
        </a:xfrm>
        <a:prstGeom prst="line">
          <a:avLst/>
        </a:prstGeom>
        <a:noFill/>
        <a:ln w="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266700</xdr:colOff>
      <xdr:row>43</xdr:row>
      <xdr:rowOff>0</xdr:rowOff>
    </xdr:from>
    <xdr:to>
      <xdr:col>20</xdr:col>
      <xdr:colOff>525780</xdr:colOff>
      <xdr:row>43</xdr:row>
      <xdr:rowOff>0</xdr:rowOff>
    </xdr:to>
    <xdr:sp macro="" textlink="">
      <xdr:nvSpPr>
        <xdr:cNvPr id="19118" name="Line 50"/>
        <xdr:cNvSpPr>
          <a:spLocks noChangeShapeType="1"/>
        </xdr:cNvSpPr>
      </xdr:nvSpPr>
      <xdr:spPr bwMode="auto">
        <a:xfrm flipH="1">
          <a:off x="9243060" y="8930640"/>
          <a:ext cx="1775460" cy="0"/>
        </a:xfrm>
        <a:prstGeom prst="line">
          <a:avLst/>
        </a:prstGeom>
        <a:noFill/>
        <a:ln w="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266700</xdr:colOff>
      <xdr:row>43</xdr:row>
      <xdr:rowOff>0</xdr:rowOff>
    </xdr:from>
    <xdr:to>
      <xdr:col>16</xdr:col>
      <xdr:colOff>266700</xdr:colOff>
      <xdr:row>44</xdr:row>
      <xdr:rowOff>0</xdr:rowOff>
    </xdr:to>
    <xdr:sp macro="" textlink="">
      <xdr:nvSpPr>
        <xdr:cNvPr id="19119" name="Line 54"/>
        <xdr:cNvSpPr>
          <a:spLocks noChangeShapeType="1"/>
        </xdr:cNvSpPr>
      </xdr:nvSpPr>
      <xdr:spPr bwMode="auto">
        <a:xfrm>
          <a:off x="9243060" y="8930640"/>
          <a:ext cx="0" cy="91440"/>
        </a:xfrm>
        <a:prstGeom prst="line">
          <a:avLst/>
        </a:prstGeom>
        <a:noFill/>
        <a:ln w="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617220</xdr:colOff>
      <xdr:row>29</xdr:row>
      <xdr:rowOff>45720</xdr:rowOff>
    </xdr:from>
    <xdr:to>
      <xdr:col>15</xdr:col>
      <xdr:colOff>0</xdr:colOff>
      <xdr:row>29</xdr:row>
      <xdr:rowOff>99060</xdr:rowOff>
    </xdr:to>
    <xdr:sp macro="" textlink="">
      <xdr:nvSpPr>
        <xdr:cNvPr id="19120" name="Line 4"/>
        <xdr:cNvSpPr>
          <a:spLocks noChangeShapeType="1"/>
        </xdr:cNvSpPr>
      </xdr:nvSpPr>
      <xdr:spPr bwMode="auto">
        <a:xfrm flipV="1">
          <a:off x="8001000" y="6499860"/>
          <a:ext cx="236220" cy="5334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617220</xdr:colOff>
      <xdr:row>29</xdr:row>
      <xdr:rowOff>99060</xdr:rowOff>
    </xdr:from>
    <xdr:to>
      <xdr:col>15</xdr:col>
      <xdr:colOff>144780</xdr:colOff>
      <xdr:row>29</xdr:row>
      <xdr:rowOff>160020</xdr:rowOff>
    </xdr:to>
    <xdr:cxnSp macro="">
      <xdr:nvCxnSpPr>
        <xdr:cNvPr id="19121" name="Straight Connector 10"/>
        <xdr:cNvCxnSpPr>
          <a:cxnSpLocks noChangeShapeType="1"/>
          <a:endCxn id="19109" idx="0"/>
        </xdr:cNvCxnSpPr>
      </xdr:nvCxnSpPr>
      <xdr:spPr bwMode="auto">
        <a:xfrm>
          <a:off x="8001000" y="6553200"/>
          <a:ext cx="381000" cy="60960"/>
        </a:xfrm>
        <a:prstGeom prst="line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289560</xdr:colOff>
      <xdr:row>18</xdr:row>
      <xdr:rowOff>7620</xdr:rowOff>
    </xdr:from>
    <xdr:to>
      <xdr:col>18</xdr:col>
      <xdr:colOff>106680</xdr:colOff>
      <xdr:row>29</xdr:row>
      <xdr:rowOff>38100</xdr:rowOff>
    </xdr:to>
    <xdr:cxnSp macro="">
      <xdr:nvCxnSpPr>
        <xdr:cNvPr id="19122" name="Straight Connector 2"/>
        <xdr:cNvCxnSpPr>
          <a:cxnSpLocks noChangeShapeType="1"/>
        </xdr:cNvCxnSpPr>
      </xdr:nvCxnSpPr>
      <xdr:spPr bwMode="auto">
        <a:xfrm>
          <a:off x="9265920" y="4472940"/>
          <a:ext cx="662940" cy="201930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297180</xdr:colOff>
      <xdr:row>28</xdr:row>
      <xdr:rowOff>129540</xdr:rowOff>
    </xdr:from>
    <xdr:to>
      <xdr:col>18</xdr:col>
      <xdr:colOff>83820</xdr:colOff>
      <xdr:row>28</xdr:row>
      <xdr:rowOff>190500</xdr:rowOff>
    </xdr:to>
    <xdr:cxnSp macro="">
      <xdr:nvCxnSpPr>
        <xdr:cNvPr id="19123" name="Straight Connector 4"/>
        <xdr:cNvCxnSpPr>
          <a:cxnSpLocks noChangeShapeType="1"/>
        </xdr:cNvCxnSpPr>
      </xdr:nvCxnSpPr>
      <xdr:spPr bwMode="auto">
        <a:xfrm flipH="1" flipV="1">
          <a:off x="9273540" y="6393180"/>
          <a:ext cx="632460" cy="6096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15</xdr:col>
      <xdr:colOff>0</xdr:colOff>
      <xdr:row>29</xdr:row>
      <xdr:rowOff>45720</xdr:rowOff>
    </xdr:from>
    <xdr:to>
      <xdr:col>16</xdr:col>
      <xdr:colOff>533400</xdr:colOff>
      <xdr:row>29</xdr:row>
      <xdr:rowOff>45720</xdr:rowOff>
    </xdr:to>
    <xdr:cxnSp macro="">
      <xdr:nvCxnSpPr>
        <xdr:cNvPr id="19124" name="Straight Connector 6"/>
        <xdr:cNvCxnSpPr>
          <a:cxnSpLocks noChangeShapeType="1"/>
        </xdr:cNvCxnSpPr>
      </xdr:nvCxnSpPr>
      <xdr:spPr bwMode="auto">
        <a:xfrm flipH="1">
          <a:off x="8237220" y="6499860"/>
          <a:ext cx="1272540" cy="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533400</xdr:colOff>
      <xdr:row>29</xdr:row>
      <xdr:rowOff>0</xdr:rowOff>
    </xdr:from>
    <xdr:to>
      <xdr:col>20</xdr:col>
      <xdr:colOff>7620</xdr:colOff>
      <xdr:row>29</xdr:row>
      <xdr:rowOff>45720</xdr:rowOff>
    </xdr:to>
    <xdr:sp macro="" textlink="">
      <xdr:nvSpPr>
        <xdr:cNvPr id="19125" name="Freeform 14"/>
        <xdr:cNvSpPr>
          <a:spLocks/>
        </xdr:cNvSpPr>
      </xdr:nvSpPr>
      <xdr:spPr bwMode="auto">
        <a:xfrm>
          <a:off x="9509760" y="6454140"/>
          <a:ext cx="990600" cy="45720"/>
        </a:xfrm>
        <a:custGeom>
          <a:avLst/>
          <a:gdLst>
            <a:gd name="T0" fmla="*/ 0 w 1476978"/>
            <a:gd name="T1" fmla="*/ 2147483646 h 21100"/>
            <a:gd name="T2" fmla="*/ 1 w 1476978"/>
            <a:gd name="T3" fmla="*/ 2147483646 h 21100"/>
            <a:gd name="T4" fmla="*/ 1 w 1476978"/>
            <a:gd name="T5" fmla="*/ 0 h 21100"/>
            <a:gd name="T6" fmla="*/ 1 w 1476978"/>
            <a:gd name="T7" fmla="*/ 0 h 21100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1476978" h="21100">
              <a:moveTo>
                <a:pt x="0" y="21100"/>
              </a:moveTo>
              <a:lnTo>
                <a:pt x="931400" y="12057"/>
              </a:lnTo>
              <a:lnTo>
                <a:pt x="1476978" y="0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198120</xdr:colOff>
      <xdr:row>29</xdr:row>
      <xdr:rowOff>0</xdr:rowOff>
    </xdr:from>
    <xdr:to>
      <xdr:col>20</xdr:col>
      <xdr:colOff>0</xdr:colOff>
      <xdr:row>29</xdr:row>
      <xdr:rowOff>167640</xdr:rowOff>
    </xdr:to>
    <xdr:sp macro="" textlink="">
      <xdr:nvSpPr>
        <xdr:cNvPr id="19126" name="Freeform 16"/>
        <xdr:cNvSpPr>
          <a:spLocks/>
        </xdr:cNvSpPr>
      </xdr:nvSpPr>
      <xdr:spPr bwMode="auto">
        <a:xfrm>
          <a:off x="9814560" y="6454140"/>
          <a:ext cx="678180" cy="167640"/>
        </a:xfrm>
        <a:custGeom>
          <a:avLst/>
          <a:gdLst>
            <a:gd name="T0" fmla="*/ 0 w 636240"/>
            <a:gd name="T1" fmla="*/ 972126 h 163711"/>
            <a:gd name="T2" fmla="*/ 6172846 w 636240"/>
            <a:gd name="T3" fmla="*/ 773281 h 163711"/>
            <a:gd name="T4" fmla="*/ 9907029 w 636240"/>
            <a:gd name="T5" fmla="*/ 574435 h 163711"/>
            <a:gd name="T6" fmla="*/ 13031529 w 636240"/>
            <a:gd name="T7" fmla="*/ 0 h 163711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636240" h="163711">
              <a:moveTo>
                <a:pt x="0" y="163711"/>
              </a:moveTo>
              <a:lnTo>
                <a:pt x="301377" y="130224"/>
              </a:lnTo>
              <a:cubicBezTo>
                <a:pt x="381992" y="119062"/>
                <a:pt x="427882" y="118442"/>
                <a:pt x="483692" y="96738"/>
              </a:cubicBezTo>
              <a:cubicBezTo>
                <a:pt x="539502" y="75034"/>
                <a:pt x="587871" y="37517"/>
                <a:pt x="636240" y="0"/>
              </a:cubicBez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289560</xdr:colOff>
      <xdr:row>29</xdr:row>
      <xdr:rowOff>60960</xdr:rowOff>
    </xdr:from>
    <xdr:to>
      <xdr:col>16</xdr:col>
      <xdr:colOff>289560</xdr:colOff>
      <xdr:row>31</xdr:row>
      <xdr:rowOff>182880</xdr:rowOff>
    </xdr:to>
    <xdr:cxnSp macro="">
      <xdr:nvCxnSpPr>
        <xdr:cNvPr id="19127" name="Straight Connector 30"/>
        <xdr:cNvCxnSpPr>
          <a:cxnSpLocks noChangeShapeType="1"/>
          <a:stCxn id="19107" idx="1"/>
        </xdr:cNvCxnSpPr>
      </xdr:nvCxnSpPr>
      <xdr:spPr bwMode="auto">
        <a:xfrm>
          <a:off x="9265920" y="6515100"/>
          <a:ext cx="0" cy="50292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106680</xdr:colOff>
      <xdr:row>29</xdr:row>
      <xdr:rowOff>60960</xdr:rowOff>
    </xdr:from>
    <xdr:to>
      <xdr:col>16</xdr:col>
      <xdr:colOff>106680</xdr:colOff>
      <xdr:row>31</xdr:row>
      <xdr:rowOff>167640</xdr:rowOff>
    </xdr:to>
    <xdr:cxnSp macro="">
      <xdr:nvCxnSpPr>
        <xdr:cNvPr id="19128" name="Straight Connector 62"/>
        <xdr:cNvCxnSpPr>
          <a:cxnSpLocks noChangeShapeType="1"/>
        </xdr:cNvCxnSpPr>
      </xdr:nvCxnSpPr>
      <xdr:spPr bwMode="auto">
        <a:xfrm flipH="1">
          <a:off x="9083040" y="6515100"/>
          <a:ext cx="0" cy="48768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304800</xdr:colOff>
      <xdr:row>17</xdr:row>
      <xdr:rowOff>182880</xdr:rowOff>
    </xdr:from>
    <xdr:to>
      <xdr:col>19</xdr:col>
      <xdr:colOff>7620</xdr:colOff>
      <xdr:row>17</xdr:row>
      <xdr:rowOff>182880</xdr:rowOff>
    </xdr:to>
    <xdr:cxnSp macro="">
      <xdr:nvCxnSpPr>
        <xdr:cNvPr id="19129" name="Straight Connector 7234"/>
        <xdr:cNvCxnSpPr>
          <a:cxnSpLocks noChangeShapeType="1"/>
        </xdr:cNvCxnSpPr>
      </xdr:nvCxnSpPr>
      <xdr:spPr bwMode="auto">
        <a:xfrm>
          <a:off x="9281160" y="4457700"/>
          <a:ext cx="708660" cy="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14</xdr:col>
      <xdr:colOff>853440</xdr:colOff>
      <xdr:row>15</xdr:row>
      <xdr:rowOff>190500</xdr:rowOff>
    </xdr:from>
    <xdr:to>
      <xdr:col>16</xdr:col>
      <xdr:colOff>297180</xdr:colOff>
      <xdr:row>15</xdr:row>
      <xdr:rowOff>190500</xdr:rowOff>
    </xdr:to>
    <xdr:cxnSp macro="">
      <xdr:nvCxnSpPr>
        <xdr:cNvPr id="19130" name="Straight Connector 11"/>
        <xdr:cNvCxnSpPr>
          <a:cxnSpLocks noChangeShapeType="1"/>
        </xdr:cNvCxnSpPr>
      </xdr:nvCxnSpPr>
      <xdr:spPr bwMode="auto">
        <a:xfrm>
          <a:off x="8237220" y="4084320"/>
          <a:ext cx="1036320" cy="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21</xdr:col>
      <xdr:colOff>274320</xdr:colOff>
      <xdr:row>1</xdr:row>
      <xdr:rowOff>30480</xdr:rowOff>
    </xdr:from>
    <xdr:to>
      <xdr:col>23</xdr:col>
      <xdr:colOff>845820</xdr:colOff>
      <xdr:row>2</xdr:row>
      <xdr:rowOff>335280</xdr:rowOff>
    </xdr:to>
    <xdr:pic>
      <xdr:nvPicPr>
        <xdr:cNvPr id="19131" name="Grafi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0460" y="723900"/>
          <a:ext cx="147828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7"/>
  <sheetViews>
    <sheetView tabSelected="1" workbookViewId="0">
      <selection activeCell="H15" sqref="H15"/>
    </sheetView>
  </sheetViews>
  <sheetFormatPr baseColWidth="10" defaultColWidth="9" defaultRowHeight="15"/>
  <cols>
    <col min="1" max="16384" width="9" style="89"/>
  </cols>
  <sheetData>
    <row r="2" spans="2:2" s="151" customFormat="1" ht="45.75" customHeight="1">
      <c r="B2" s="224" t="s">
        <v>350</v>
      </c>
    </row>
    <row r="3" spans="2:2" s="151" customFormat="1" ht="19.5" customHeight="1">
      <c r="B3" s="358" t="s">
        <v>349</v>
      </c>
    </row>
    <row r="5" spans="2:2">
      <c r="B5" s="89" t="s">
        <v>342</v>
      </c>
    </row>
    <row r="7" spans="2:2">
      <c r="B7" s="297" t="s">
        <v>341</v>
      </c>
    </row>
  </sheetData>
  <sheetProtection algorithmName="SHA-512" hashValue="6msaFFqhVxDocaqXyRa3L0duJ8Ndd9EbCRZ40AwPylGdmzfpJBynh3sTrruRjoT2Gq+AC50qKv7y1o5LqHy5NA==" saltValue="fuxFb/Cihq6g/imJ1RR43A==" spinCount="100000" sheet="1" objects="1" scenarios="1" selectLockedCells="1"/>
  <phoneticPr fontId="4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101"/>
  <sheetViews>
    <sheetView zoomScale="80" zoomScaleNormal="80" workbookViewId="0">
      <selection activeCell="B9" sqref="B9"/>
    </sheetView>
  </sheetViews>
  <sheetFormatPr baseColWidth="10" defaultColWidth="9" defaultRowHeight="15"/>
  <cols>
    <col min="1" max="1" width="9" style="89"/>
    <col min="2" max="2" width="11.59765625" style="89" customWidth="1"/>
    <col min="3" max="3" width="116.09765625" style="89" customWidth="1"/>
    <col min="4" max="4" width="24.3984375" style="89" customWidth="1"/>
    <col min="5" max="16384" width="9" style="89"/>
  </cols>
  <sheetData>
    <row r="2" spans="2:17" s="226" customFormat="1" ht="32.4">
      <c r="B2" s="225" t="s">
        <v>232</v>
      </c>
      <c r="J2" s="227"/>
    </row>
    <row r="3" spans="2:17" s="226" customFormat="1" ht="27" customHeight="1">
      <c r="B3" s="228" t="s">
        <v>340</v>
      </c>
      <c r="C3" s="229"/>
      <c r="D3" s="229"/>
      <c r="E3" s="229"/>
      <c r="F3" s="229"/>
      <c r="G3" s="229"/>
      <c r="H3" s="229"/>
      <c r="I3" s="229"/>
      <c r="J3" s="230"/>
      <c r="K3" s="229"/>
      <c r="L3" s="229"/>
      <c r="M3" s="229"/>
      <c r="N3" s="229"/>
      <c r="O3" s="229"/>
      <c r="P3" s="229"/>
      <c r="Q3" s="229"/>
    </row>
    <row r="4" spans="2:17" s="226" customFormat="1" ht="23.25" customHeight="1">
      <c r="B4" s="238" t="s">
        <v>239</v>
      </c>
      <c r="C4" s="229"/>
      <c r="D4" s="262" t="s">
        <v>241</v>
      </c>
      <c r="E4" s="263">
        <f>'data input for certificate'!AA20</f>
        <v>45</v>
      </c>
      <c r="F4" s="229"/>
      <c r="G4" s="229"/>
      <c r="H4" s="229"/>
      <c r="I4" s="229"/>
      <c r="J4" s="230"/>
      <c r="K4" s="229"/>
      <c r="L4" s="229"/>
      <c r="M4" s="229"/>
      <c r="N4" s="229"/>
      <c r="O4" s="229"/>
      <c r="P4" s="229"/>
      <c r="Q4" s="229"/>
    </row>
    <row r="5" spans="2:17" s="151" customFormat="1" ht="21.75" customHeight="1">
      <c r="B5" s="152" t="s">
        <v>119</v>
      </c>
      <c r="E5" s="161" t="str">
        <f>'status of document'!B7</f>
        <v>© 2018, IRSA</v>
      </c>
    </row>
    <row r="6" spans="2:17" ht="15.6">
      <c r="B6" s="155" t="str">
        <f>'status of document'!B2</f>
        <v>FS and RC release version 1</v>
      </c>
      <c r="E6" s="217" t="str">
        <f>'status of document'!B5</f>
        <v>Effective 1st April 2018</v>
      </c>
    </row>
    <row r="7" spans="2:17" ht="15.6">
      <c r="B7" s="231" t="s">
        <v>100</v>
      </c>
      <c r="C7" s="231" t="s">
        <v>101</v>
      </c>
      <c r="D7" s="231"/>
      <c r="E7" s="232"/>
      <c r="F7" s="232"/>
    </row>
    <row r="8" spans="2:17" ht="15" customHeight="1">
      <c r="B8" s="264" t="s">
        <v>244</v>
      </c>
    </row>
    <row r="9" spans="2:17">
      <c r="B9" s="147">
        <v>10</v>
      </c>
      <c r="C9" s="89" t="s">
        <v>214</v>
      </c>
      <c r="D9" s="89" t="s">
        <v>213</v>
      </c>
    </row>
    <row r="10" spans="2:17">
      <c r="B10" s="147">
        <v>50</v>
      </c>
      <c r="C10" s="89" t="s">
        <v>102</v>
      </c>
      <c r="D10" s="89" t="s">
        <v>103</v>
      </c>
    </row>
    <row r="11" spans="2:17">
      <c r="B11" s="147">
        <v>33.299999999999997</v>
      </c>
      <c r="C11" s="89" t="s">
        <v>104</v>
      </c>
      <c r="D11" s="89" t="s">
        <v>105</v>
      </c>
    </row>
    <row r="12" spans="2:17">
      <c r="B12" s="147">
        <v>20</v>
      </c>
      <c r="C12" s="89" t="s">
        <v>106</v>
      </c>
      <c r="D12" s="89" t="s">
        <v>107</v>
      </c>
    </row>
    <row r="13" spans="2:17">
      <c r="B13" s="148" t="str">
        <f>IF(ISERROR(B16),"Check Input","")</f>
        <v/>
      </c>
    </row>
    <row r="14" spans="2:17" ht="15" customHeight="1">
      <c r="B14" s="149">
        <f>IF(ISERROR(B16),"",IF((B12/(TAN(RADIANS(DEGREES(ASIN((B9+B12)/B10)))))-B11)&lt;0,0,B12/(TAN(RADIANS(DEGREES(ASIN((B9+B12)/B10)))))-B11))</f>
        <v>0</v>
      </c>
      <c r="C14" s="233" t="s">
        <v>200</v>
      </c>
    </row>
    <row r="15" spans="2:17" ht="15" customHeight="1">
      <c r="B15" s="203">
        <f>ROUNDUP(B14,0)</f>
        <v>0</v>
      </c>
      <c r="C15" s="89" t="s">
        <v>201</v>
      </c>
    </row>
    <row r="16" spans="2:17" ht="15" customHeight="1">
      <c r="B16" s="234">
        <f>IF((B12/(TAN(RADIANS(DEGREES(ASIN((B9+B12)/B10)))))-B11)&lt;0,0,B12/(TAN(RADIANS(DEGREES(ASIN((B9+B12)/B10)))))-B11)</f>
        <v>0</v>
      </c>
    </row>
    <row r="17" spans="2:6">
      <c r="B17" s="231" t="s">
        <v>108</v>
      </c>
      <c r="C17" s="231"/>
      <c r="D17" s="231"/>
      <c r="E17" s="231"/>
      <c r="F17" s="231"/>
    </row>
    <row r="18" spans="2:6">
      <c r="B18" s="231" t="s">
        <v>109</v>
      </c>
      <c r="C18" s="231" t="s">
        <v>101</v>
      </c>
      <c r="D18" s="231"/>
      <c r="E18" s="231"/>
      <c r="F18" s="231"/>
    </row>
    <row r="20" spans="2:6">
      <c r="B20" s="235">
        <v>1</v>
      </c>
      <c r="C20" s="89" t="s">
        <v>110</v>
      </c>
    </row>
    <row r="21" spans="2:6">
      <c r="B21" s="235">
        <v>2</v>
      </c>
      <c r="C21" s="89" t="s">
        <v>111</v>
      </c>
    </row>
    <row r="22" spans="2:6">
      <c r="B22" s="235">
        <v>3</v>
      </c>
      <c r="C22" s="89" t="s">
        <v>112</v>
      </c>
    </row>
    <row r="23" spans="2:6">
      <c r="B23" s="235">
        <v>4</v>
      </c>
      <c r="C23" s="89" t="s">
        <v>113</v>
      </c>
    </row>
    <row r="24" spans="2:6">
      <c r="B24" s="235">
        <v>5</v>
      </c>
      <c r="C24" s="89" t="s">
        <v>114</v>
      </c>
    </row>
    <row r="25" spans="2:6">
      <c r="B25" s="235">
        <v>6</v>
      </c>
      <c r="C25" s="89" t="s">
        <v>115</v>
      </c>
    </row>
    <row r="26" spans="2:6">
      <c r="B26" s="235">
        <v>7</v>
      </c>
      <c r="C26" s="89" t="s">
        <v>116</v>
      </c>
    </row>
    <row r="27" spans="2:6">
      <c r="B27" s="235">
        <v>8</v>
      </c>
      <c r="C27" s="89" t="s">
        <v>117</v>
      </c>
    </row>
    <row r="28" spans="2:6">
      <c r="B28" s="235">
        <v>9</v>
      </c>
      <c r="C28" s="89" t="s">
        <v>118</v>
      </c>
    </row>
    <row r="29" spans="2:6" ht="15.75" customHeight="1"/>
    <row r="30" spans="2:6" ht="15.75" customHeight="1">
      <c r="B30" s="236" t="s">
        <v>229</v>
      </c>
    </row>
    <row r="31" spans="2:6" ht="15.75" customHeight="1"/>
    <row r="32" spans="2:6" ht="15.75" customHeight="1">
      <c r="B32" s="231" t="s">
        <v>228</v>
      </c>
      <c r="C32" s="231" t="s">
        <v>101</v>
      </c>
      <c r="D32" s="231"/>
      <c r="E32" s="231"/>
      <c r="F32" s="231"/>
    </row>
    <row r="34" spans="2:6">
      <c r="B34" s="151" t="s">
        <v>207</v>
      </c>
      <c r="C34" s="151" t="s">
        <v>272</v>
      </c>
      <c r="D34" s="151"/>
      <c r="E34" s="151"/>
      <c r="F34" s="151"/>
    </row>
    <row r="35" spans="2:6">
      <c r="D35" s="89" t="s">
        <v>208</v>
      </c>
      <c r="F35" s="89" t="s">
        <v>215</v>
      </c>
    </row>
    <row r="36" spans="2:6">
      <c r="D36" s="89" t="s">
        <v>209</v>
      </c>
      <c r="F36" s="89" t="s">
        <v>216</v>
      </c>
    </row>
    <row r="37" spans="2:6">
      <c r="D37" s="89" t="s">
        <v>210</v>
      </c>
      <c r="F37" s="89" t="s">
        <v>217</v>
      </c>
    </row>
    <row r="38" spans="2:6">
      <c r="D38" s="89" t="s">
        <v>211</v>
      </c>
      <c r="F38" s="89" t="s">
        <v>218</v>
      </c>
    </row>
    <row r="39" spans="2:6">
      <c r="D39" s="89" t="s">
        <v>212</v>
      </c>
      <c r="F39" s="89" t="s">
        <v>219</v>
      </c>
    </row>
    <row r="40" spans="2:6">
      <c r="C40" s="89" t="s">
        <v>261</v>
      </c>
      <c r="D40" s="89" t="s">
        <v>223</v>
      </c>
      <c r="F40" s="89" t="s">
        <v>224</v>
      </c>
    </row>
    <row r="42" spans="2:6">
      <c r="C42" s="235" t="s">
        <v>256</v>
      </c>
    </row>
    <row r="43" spans="2:6">
      <c r="B43" s="89" t="s">
        <v>221</v>
      </c>
      <c r="C43" s="89" t="s">
        <v>257</v>
      </c>
    </row>
    <row r="44" spans="2:6">
      <c r="C44" s="89" t="s">
        <v>258</v>
      </c>
    </row>
    <row r="45" spans="2:6">
      <c r="C45" s="235" t="s">
        <v>267</v>
      </c>
    </row>
    <row r="52" spans="2:6">
      <c r="B52" s="151" t="s">
        <v>220</v>
      </c>
      <c r="C52" s="151" t="s">
        <v>271</v>
      </c>
      <c r="D52" s="151"/>
      <c r="E52" s="151"/>
      <c r="F52" s="151"/>
    </row>
    <row r="53" spans="2:6">
      <c r="D53" s="89" t="s">
        <v>208</v>
      </c>
      <c r="F53" s="89" t="s">
        <v>215</v>
      </c>
    </row>
    <row r="54" spans="2:6">
      <c r="D54" s="89" t="s">
        <v>209</v>
      </c>
      <c r="F54" s="89" t="s">
        <v>216</v>
      </c>
    </row>
    <row r="55" spans="2:6">
      <c r="D55" s="89" t="s">
        <v>210</v>
      </c>
      <c r="F55" s="89" t="s">
        <v>217</v>
      </c>
    </row>
    <row r="56" spans="2:6">
      <c r="D56" s="89" t="s">
        <v>211</v>
      </c>
      <c r="F56" s="89" t="s">
        <v>218</v>
      </c>
    </row>
    <row r="57" spans="2:6">
      <c r="C57" s="89" t="s">
        <v>262</v>
      </c>
      <c r="D57" s="89" t="s">
        <v>212</v>
      </c>
      <c r="F57" s="89" t="s">
        <v>219</v>
      </c>
    </row>
    <row r="58" spans="2:6">
      <c r="C58" s="89" t="s">
        <v>260</v>
      </c>
      <c r="D58" s="89" t="s">
        <v>223</v>
      </c>
      <c r="F58" s="89" t="s">
        <v>224</v>
      </c>
    </row>
    <row r="59" spans="2:6">
      <c r="C59" s="89" t="s">
        <v>256</v>
      </c>
    </row>
    <row r="60" spans="2:6">
      <c r="B60" s="89" t="s">
        <v>221</v>
      </c>
    </row>
    <row r="61" spans="2:6">
      <c r="C61" s="89" t="s">
        <v>259</v>
      </c>
    </row>
    <row r="62" spans="2:6">
      <c r="C62" s="89" t="s">
        <v>266</v>
      </c>
    </row>
    <row r="69" spans="2:6">
      <c r="B69" s="151" t="s">
        <v>222</v>
      </c>
      <c r="C69" s="151" t="s">
        <v>270</v>
      </c>
      <c r="D69" s="151"/>
      <c r="E69" s="151"/>
      <c r="F69" s="151"/>
    </row>
    <row r="71" spans="2:6">
      <c r="D71" s="89" t="s">
        <v>208</v>
      </c>
      <c r="F71" s="89" t="s">
        <v>215</v>
      </c>
    </row>
    <row r="72" spans="2:6">
      <c r="D72" s="89" t="s">
        <v>209</v>
      </c>
      <c r="F72" s="89" t="s">
        <v>216</v>
      </c>
    </row>
    <row r="73" spans="2:6">
      <c r="D73" s="89" t="s">
        <v>210</v>
      </c>
      <c r="F73" s="89" t="s">
        <v>217</v>
      </c>
    </row>
    <row r="74" spans="2:6">
      <c r="C74" s="89" t="s">
        <v>264</v>
      </c>
      <c r="D74" s="89" t="s">
        <v>211</v>
      </c>
      <c r="F74" s="89" t="s">
        <v>218</v>
      </c>
    </row>
    <row r="75" spans="2:6">
      <c r="D75" s="89" t="s">
        <v>212</v>
      </c>
      <c r="F75" s="89" t="s">
        <v>219</v>
      </c>
    </row>
    <row r="76" spans="2:6">
      <c r="C76" s="89" t="s">
        <v>263</v>
      </c>
      <c r="D76" s="89" t="s">
        <v>223</v>
      </c>
      <c r="F76" s="89" t="s">
        <v>224</v>
      </c>
    </row>
    <row r="77" spans="2:6">
      <c r="B77" s="89" t="s">
        <v>221</v>
      </c>
    </row>
    <row r="78" spans="2:6">
      <c r="C78" s="89" t="s">
        <v>265</v>
      </c>
    </row>
    <row r="85" spans="2:6">
      <c r="B85" s="151" t="s">
        <v>225</v>
      </c>
      <c r="C85" s="151" t="s">
        <v>269</v>
      </c>
      <c r="D85" s="151"/>
      <c r="E85" s="151"/>
      <c r="F85" s="151"/>
    </row>
    <row r="86" spans="2:6">
      <c r="D86" s="89" t="s">
        <v>208</v>
      </c>
      <c r="F86" s="89" t="s">
        <v>226</v>
      </c>
    </row>
    <row r="87" spans="2:6">
      <c r="D87" s="89" t="s">
        <v>209</v>
      </c>
      <c r="F87" s="89" t="s">
        <v>226</v>
      </c>
    </row>
    <row r="88" spans="2:6">
      <c r="D88" s="89" t="s">
        <v>210</v>
      </c>
      <c r="F88" s="89" t="s">
        <v>226</v>
      </c>
    </row>
    <row r="89" spans="2:6">
      <c r="D89" s="89" t="s">
        <v>211</v>
      </c>
      <c r="F89" s="89" t="s">
        <v>226</v>
      </c>
    </row>
    <row r="90" spans="2:6">
      <c r="D90" s="89" t="s">
        <v>212</v>
      </c>
      <c r="F90" s="89" t="s">
        <v>219</v>
      </c>
    </row>
    <row r="91" spans="2:6">
      <c r="D91" s="89" t="s">
        <v>223</v>
      </c>
      <c r="F91" s="89" t="s">
        <v>227</v>
      </c>
    </row>
    <row r="93" spans="2:6" ht="39" customHeight="1">
      <c r="B93" s="273" t="s">
        <v>221</v>
      </c>
      <c r="C93" s="237">
        <v>20</v>
      </c>
    </row>
    <row r="94" spans="2:6" ht="36" customHeight="1"/>
    <row r="95" spans="2:6">
      <c r="C95" s="89" t="s">
        <v>268</v>
      </c>
    </row>
    <row r="101" spans="2:6" ht="15.6">
      <c r="B101" s="155" t="str">
        <f>'status of document'!B5</f>
        <v>Effective 1st April 2018</v>
      </c>
      <c r="C101" s="155"/>
      <c r="D101" s="155" t="str">
        <f>'status of document'!B2</f>
        <v>FS and RC release version 1</v>
      </c>
      <c r="E101" s="155" t="str">
        <f>'status of document'!B7</f>
        <v>© 2018, IRSA</v>
      </c>
      <c r="F101" s="155"/>
    </row>
  </sheetData>
  <sheetProtection algorithmName="SHA-512" hashValue="ucMeFU0TtKAH6bYVh7XxFELn2xym1brj2wWUlJQVtqnisw70UnHPJWgP2e9WXofnW6g5xiqVdyhnDB6kglbtxg==" saltValue="by1vKSXFCH6Fjb9h6KODFA==" spinCount="100000" sheet="1" objects="1" scenarios="1" selectLockedCells="1"/>
  <phoneticPr fontId="44" type="noConversion"/>
  <printOptions horizontalCentered="1" verticalCentered="1"/>
  <pageMargins left="0.74803149606299213" right="0.74803149606299213" top="0.78740157480314965" bottom="0.78740157480314965" header="0.51181102362204722" footer="0.51181102362204722"/>
  <pageSetup paperSize="9" scale="48" fitToHeight="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60"/>
  <sheetViews>
    <sheetView zoomScale="70" zoomScaleNormal="70" workbookViewId="0">
      <selection activeCell="D15" sqref="D15"/>
    </sheetView>
  </sheetViews>
  <sheetFormatPr baseColWidth="10" defaultColWidth="9" defaultRowHeight="15"/>
  <cols>
    <col min="1" max="1" width="9" style="89"/>
    <col min="2" max="2" width="13.3984375" style="89" customWidth="1"/>
    <col min="3" max="3" width="49.5" style="89" customWidth="1"/>
    <col min="4" max="4" width="10.19921875" style="89" customWidth="1"/>
    <col min="5" max="5" width="2.5" style="89" customWidth="1"/>
    <col min="6" max="7" width="9" style="89"/>
    <col min="8" max="8" width="11.09765625" style="89" customWidth="1"/>
    <col min="9" max="10" width="9" style="89"/>
    <col min="11" max="11" width="2.59765625" style="89" customWidth="1"/>
    <col min="12" max="12" width="10.59765625" style="89" customWidth="1"/>
    <col min="13" max="13" width="2" style="89" customWidth="1"/>
    <col min="14" max="15" width="9" style="89"/>
    <col min="16" max="16" width="10.5" style="89" customWidth="1"/>
    <col min="17" max="18" width="9" style="89"/>
    <col min="19" max="19" width="2.59765625" style="89" customWidth="1"/>
    <col min="20" max="20" width="11" style="89" customWidth="1"/>
    <col min="21" max="21" width="3" style="89" customWidth="1"/>
    <col min="22" max="23" width="9" style="89"/>
    <col min="24" max="24" width="10.59765625" style="89" customWidth="1"/>
    <col min="25" max="26" width="9" style="89"/>
    <col min="27" max="27" width="2.3984375" style="89" customWidth="1"/>
    <col min="28" max="16384" width="9" style="89"/>
  </cols>
  <sheetData>
    <row r="1" spans="2:26" ht="30.75" customHeight="1"/>
    <row r="2" spans="2:26" s="226" customFormat="1" ht="48.75" customHeight="1">
      <c r="C2" s="225" t="s">
        <v>232</v>
      </c>
      <c r="F2" s="261">
        <f>'data input for certificate'!AA20</f>
        <v>45</v>
      </c>
      <c r="G2" s="260" t="s">
        <v>241</v>
      </c>
      <c r="K2" s="227"/>
    </row>
    <row r="3" spans="2:26" s="226" customFormat="1" ht="27" customHeight="1">
      <c r="C3" s="239" t="s">
        <v>343</v>
      </c>
      <c r="D3" s="229"/>
      <c r="E3" s="229"/>
      <c r="F3" s="229"/>
      <c r="G3" s="229"/>
      <c r="H3" s="229"/>
      <c r="I3" s="229"/>
      <c r="J3" s="229"/>
      <c r="K3" s="230"/>
      <c r="L3" s="229"/>
      <c r="M3" s="229"/>
      <c r="N3" s="229"/>
      <c r="O3" s="229"/>
      <c r="P3" s="229"/>
      <c r="Q3" s="229"/>
      <c r="R3" s="229"/>
    </row>
    <row r="4" spans="2:26" s="226" customFormat="1" ht="27" customHeight="1">
      <c r="C4" s="238" t="s">
        <v>239</v>
      </c>
      <c r="D4" s="229"/>
      <c r="E4" s="229"/>
      <c r="F4" s="229"/>
      <c r="G4" s="229"/>
      <c r="H4" s="229"/>
      <c r="I4" s="229"/>
      <c r="J4" s="229"/>
      <c r="K4" s="230"/>
      <c r="L4" s="229"/>
      <c r="M4" s="229"/>
      <c r="N4" s="229"/>
      <c r="O4" s="229"/>
      <c r="P4" s="229"/>
      <c r="Q4" s="229"/>
      <c r="R4" s="229"/>
    </row>
    <row r="5" spans="2:26" s="151" customFormat="1" ht="21.75" customHeight="1">
      <c r="C5" s="152" t="s">
        <v>96</v>
      </c>
      <c r="J5" s="161" t="str">
        <f>'status of document'!B7</f>
        <v>© 2018, IRSA</v>
      </c>
    </row>
    <row r="6" spans="2:26" ht="15.6">
      <c r="C6" s="155" t="str">
        <f>'status of document'!B2</f>
        <v>FS and RC release version 1</v>
      </c>
      <c r="J6" s="217" t="str">
        <f>'status of document'!B5</f>
        <v>Effective 1st April 2018</v>
      </c>
    </row>
    <row r="7" spans="2:26" ht="51" customHeight="1">
      <c r="B7" s="223" t="s">
        <v>120</v>
      </c>
      <c r="C7" s="360" t="s">
        <v>274</v>
      </c>
      <c r="D7" s="361"/>
      <c r="E7" s="361"/>
      <c r="F7" s="361"/>
      <c r="G7" s="361"/>
      <c r="H7" s="361"/>
      <c r="I7" s="361"/>
      <c r="J7" s="361"/>
    </row>
    <row r="8" spans="2:26" ht="42" customHeight="1">
      <c r="B8" s="223" t="s">
        <v>121</v>
      </c>
      <c r="C8" s="360" t="s">
        <v>122</v>
      </c>
      <c r="D8" s="361"/>
      <c r="E8" s="361"/>
      <c r="F8" s="361"/>
      <c r="G8" s="361"/>
      <c r="H8" s="361"/>
      <c r="I8" s="361"/>
      <c r="J8" s="361"/>
    </row>
    <row r="9" spans="2:26" ht="56.25" customHeight="1">
      <c r="B9" s="223" t="s">
        <v>123</v>
      </c>
      <c r="C9" s="360" t="s">
        <v>288</v>
      </c>
      <c r="D9" s="361"/>
      <c r="E9" s="361"/>
      <c r="F9" s="361"/>
      <c r="G9" s="361"/>
      <c r="H9" s="361"/>
      <c r="I9" s="361"/>
      <c r="J9" s="361"/>
    </row>
    <row r="11" spans="2:26" ht="56.25" customHeight="1">
      <c r="B11" s="223"/>
      <c r="C11" s="292"/>
      <c r="D11" s="362" t="s">
        <v>310</v>
      </c>
      <c r="E11" s="363"/>
      <c r="F11" s="363"/>
      <c r="G11" s="363"/>
      <c r="H11" s="363"/>
      <c r="I11" s="363"/>
      <c r="J11" s="364"/>
      <c r="L11" s="362" t="s">
        <v>311</v>
      </c>
      <c r="M11" s="363"/>
      <c r="N11" s="363"/>
      <c r="O11" s="363"/>
      <c r="P11" s="363"/>
      <c r="Q11" s="363"/>
      <c r="R11" s="364"/>
      <c r="T11" s="362" t="s">
        <v>312</v>
      </c>
      <c r="U11" s="363"/>
      <c r="V11" s="363"/>
      <c r="W11" s="363"/>
      <c r="X11" s="363"/>
      <c r="Y11" s="363"/>
      <c r="Z11" s="364"/>
    </row>
    <row r="12" spans="2:26">
      <c r="D12" s="302"/>
      <c r="E12" s="303"/>
      <c r="F12" s="303"/>
      <c r="G12" s="303"/>
      <c r="H12" s="303"/>
      <c r="I12" s="303"/>
      <c r="J12" s="304"/>
      <c r="L12" s="302"/>
      <c r="M12" s="303"/>
      <c r="N12" s="303"/>
      <c r="O12" s="303"/>
      <c r="P12" s="303"/>
      <c r="Q12" s="303"/>
      <c r="R12" s="304"/>
      <c r="T12" s="302"/>
      <c r="U12" s="303"/>
      <c r="V12" s="303"/>
      <c r="W12" s="303"/>
      <c r="X12" s="303"/>
      <c r="Y12" s="303"/>
      <c r="Z12" s="304"/>
    </row>
    <row r="13" spans="2:26" s="153" customFormat="1" ht="72.75" customHeight="1">
      <c r="B13" s="278" t="s">
        <v>280</v>
      </c>
      <c r="C13" s="154" t="s">
        <v>281</v>
      </c>
      <c r="D13" s="305" t="s">
        <v>284</v>
      </c>
      <c r="E13" s="306"/>
      <c r="F13" s="306" t="s">
        <v>127</v>
      </c>
      <c r="G13" s="306" t="s">
        <v>242</v>
      </c>
      <c r="H13" s="306" t="s">
        <v>243</v>
      </c>
      <c r="I13" s="306" t="s">
        <v>124</v>
      </c>
      <c r="J13" s="307" t="s">
        <v>125</v>
      </c>
      <c r="K13" s="337"/>
      <c r="L13" s="305" t="s">
        <v>284</v>
      </c>
      <c r="M13" s="306"/>
      <c r="N13" s="306" t="s">
        <v>127</v>
      </c>
      <c r="O13" s="306" t="s">
        <v>242</v>
      </c>
      <c r="P13" s="306" t="s">
        <v>243</v>
      </c>
      <c r="Q13" s="306" t="s">
        <v>124</v>
      </c>
      <c r="R13" s="307" t="s">
        <v>125</v>
      </c>
      <c r="S13" s="242"/>
      <c r="T13" s="305" t="s">
        <v>284</v>
      </c>
      <c r="U13" s="306"/>
      <c r="V13" s="306" t="s">
        <v>127</v>
      </c>
      <c r="W13" s="306" t="s">
        <v>242</v>
      </c>
      <c r="X13" s="306" t="s">
        <v>243</v>
      </c>
      <c r="Y13" s="306" t="s">
        <v>124</v>
      </c>
      <c r="Z13" s="307" t="s">
        <v>125</v>
      </c>
    </row>
    <row r="14" spans="2:26">
      <c r="D14" s="308" t="s">
        <v>244</v>
      </c>
      <c r="E14" s="303"/>
      <c r="F14" s="303"/>
      <c r="G14" s="303"/>
      <c r="H14" s="303"/>
      <c r="I14" s="303"/>
      <c r="J14" s="304"/>
      <c r="K14" s="242"/>
      <c r="L14" s="308" t="s">
        <v>244</v>
      </c>
      <c r="M14" s="303"/>
      <c r="N14" s="303"/>
      <c r="O14" s="303"/>
      <c r="P14" s="303"/>
      <c r="Q14" s="303"/>
      <c r="R14" s="304"/>
      <c r="S14" s="242"/>
      <c r="T14" s="308" t="s">
        <v>244</v>
      </c>
      <c r="U14" s="303"/>
      <c r="V14" s="303"/>
      <c r="W14" s="303"/>
      <c r="X14" s="303"/>
      <c r="Y14" s="303"/>
      <c r="Z14" s="304"/>
    </row>
    <row r="15" spans="2:26" ht="15.6">
      <c r="C15" s="89" t="s">
        <v>97</v>
      </c>
      <c r="D15" s="309">
        <v>250</v>
      </c>
      <c r="E15" s="303"/>
      <c r="F15" s="310">
        <f>ROUNDUP(D15,0)</f>
        <v>250</v>
      </c>
      <c r="G15" s="311">
        <v>105</v>
      </c>
      <c r="H15" s="310">
        <f>F15-G15</f>
        <v>145</v>
      </c>
      <c r="I15" s="312">
        <f>H15/0.25</f>
        <v>580</v>
      </c>
      <c r="J15" s="313">
        <f>ROUND(I15,0)</f>
        <v>580</v>
      </c>
      <c r="K15" s="242"/>
      <c r="L15" s="309">
        <v>251</v>
      </c>
      <c r="M15" s="303"/>
      <c r="N15" s="310">
        <f>ROUNDUP(L15,0)</f>
        <v>251</v>
      </c>
      <c r="O15" s="311">
        <v>105</v>
      </c>
      <c r="P15" s="310">
        <f>N15-O15</f>
        <v>146</v>
      </c>
      <c r="Q15" s="312">
        <f>P15/0.25</f>
        <v>584</v>
      </c>
      <c r="R15" s="313">
        <f>ROUND(Q15,0)</f>
        <v>584</v>
      </c>
      <c r="S15" s="242"/>
      <c r="T15" s="309">
        <v>250</v>
      </c>
      <c r="U15" s="303"/>
      <c r="V15" s="310">
        <f>ROUNDUP(T15,0)</f>
        <v>250</v>
      </c>
      <c r="W15" s="311">
        <v>105</v>
      </c>
      <c r="X15" s="310">
        <f>V15-W15</f>
        <v>145</v>
      </c>
      <c r="Y15" s="312">
        <f>X15/0.25</f>
        <v>580</v>
      </c>
      <c r="Z15" s="313">
        <f>ROUND(Y15,0)</f>
        <v>580</v>
      </c>
    </row>
    <row r="16" spans="2:26" ht="15.6">
      <c r="C16" s="89" t="s">
        <v>98</v>
      </c>
      <c r="D16" s="309">
        <v>400</v>
      </c>
      <c r="E16" s="303"/>
      <c r="F16" s="310">
        <f>ROUNDUP(D16,0)</f>
        <v>400</v>
      </c>
      <c r="G16" s="311">
        <v>110</v>
      </c>
      <c r="H16" s="310">
        <f>F16-G16</f>
        <v>290</v>
      </c>
      <c r="I16" s="312">
        <f>H16/0.5</f>
        <v>580</v>
      </c>
      <c r="J16" s="313">
        <f>ROUND(I16,0)</f>
        <v>580</v>
      </c>
      <c r="K16" s="242"/>
      <c r="L16" s="309">
        <v>400</v>
      </c>
      <c r="M16" s="303"/>
      <c r="N16" s="310">
        <f>ROUNDUP(L16,0)</f>
        <v>400</v>
      </c>
      <c r="O16" s="311">
        <v>110</v>
      </c>
      <c r="P16" s="310">
        <f>N16-O16</f>
        <v>290</v>
      </c>
      <c r="Q16" s="312">
        <f>P16/0.5</f>
        <v>580</v>
      </c>
      <c r="R16" s="313">
        <f>ROUND(Q16,0)</f>
        <v>580</v>
      </c>
      <c r="S16" s="242"/>
      <c r="T16" s="309">
        <v>400</v>
      </c>
      <c r="U16" s="303"/>
      <c r="V16" s="310">
        <f>ROUNDUP(T16,0)</f>
        <v>400</v>
      </c>
      <c r="W16" s="311">
        <v>110</v>
      </c>
      <c r="X16" s="310">
        <f>V16-W16</f>
        <v>290</v>
      </c>
      <c r="Y16" s="312">
        <f>X16/0.5</f>
        <v>580</v>
      </c>
      <c r="Z16" s="313">
        <f>ROUND(Y16,0)</f>
        <v>580</v>
      </c>
    </row>
    <row r="17" spans="2:26" ht="15.6">
      <c r="C17" s="89" t="s">
        <v>99</v>
      </c>
      <c r="D17" s="309">
        <v>525</v>
      </c>
      <c r="E17" s="303"/>
      <c r="F17" s="310">
        <f>ROUNDUP(D17,0)</f>
        <v>525</v>
      </c>
      <c r="G17" s="311">
        <v>90</v>
      </c>
      <c r="H17" s="310">
        <f>F17-G17</f>
        <v>435</v>
      </c>
      <c r="I17" s="312">
        <f>H17/0.75</f>
        <v>580</v>
      </c>
      <c r="J17" s="313">
        <f>ROUND(I17,0)</f>
        <v>580</v>
      </c>
      <c r="K17" s="242"/>
      <c r="L17" s="309">
        <v>525</v>
      </c>
      <c r="M17" s="303"/>
      <c r="N17" s="310">
        <f>ROUNDUP(L17,0)</f>
        <v>525</v>
      </c>
      <c r="O17" s="311">
        <v>90</v>
      </c>
      <c r="P17" s="310">
        <f>N17-O17</f>
        <v>435</v>
      </c>
      <c r="Q17" s="312">
        <f>P17/0.75</f>
        <v>580</v>
      </c>
      <c r="R17" s="313">
        <f>ROUND(Q17,0)</f>
        <v>580</v>
      </c>
      <c r="S17" s="242"/>
      <c r="T17" s="309">
        <v>525</v>
      </c>
      <c r="U17" s="303"/>
      <c r="V17" s="310">
        <f>ROUNDUP(T17,0)</f>
        <v>525</v>
      </c>
      <c r="W17" s="311">
        <v>90</v>
      </c>
      <c r="X17" s="310">
        <f>V17-W17</f>
        <v>435</v>
      </c>
      <c r="Y17" s="312">
        <f>X17/0.75</f>
        <v>580</v>
      </c>
      <c r="Z17" s="313">
        <f>ROUND(Y17,0)</f>
        <v>580</v>
      </c>
    </row>
    <row r="18" spans="2:26" ht="15.6">
      <c r="C18" s="89" t="s">
        <v>126</v>
      </c>
      <c r="D18" s="309">
        <v>580</v>
      </c>
      <c r="E18" s="303"/>
      <c r="F18" s="310">
        <f>ROUNDUP(D18,0)</f>
        <v>580</v>
      </c>
      <c r="G18" s="311">
        <v>0</v>
      </c>
      <c r="H18" s="310">
        <f>F18-G18</f>
        <v>580</v>
      </c>
      <c r="I18" s="312">
        <f>H18/1</f>
        <v>580</v>
      </c>
      <c r="J18" s="313">
        <f>ROUND(I18,0)</f>
        <v>580</v>
      </c>
      <c r="K18" s="242"/>
      <c r="L18" s="309">
        <v>580</v>
      </c>
      <c r="M18" s="303"/>
      <c r="N18" s="310">
        <f>ROUNDUP(L18,0)</f>
        <v>580</v>
      </c>
      <c r="O18" s="311">
        <v>0</v>
      </c>
      <c r="P18" s="310">
        <f>N18-O18</f>
        <v>580</v>
      </c>
      <c r="Q18" s="312">
        <f>P18/1</f>
        <v>580</v>
      </c>
      <c r="R18" s="313">
        <f>ROUND(Q18,0)</f>
        <v>580</v>
      </c>
      <c r="S18" s="242"/>
      <c r="T18" s="309">
        <v>580</v>
      </c>
      <c r="U18" s="303"/>
      <c r="V18" s="310">
        <f>ROUNDUP(T18,0)</f>
        <v>580</v>
      </c>
      <c r="W18" s="311">
        <v>0</v>
      </c>
      <c r="X18" s="310">
        <f>V18-W18</f>
        <v>580</v>
      </c>
      <c r="Y18" s="312">
        <f>X18/1</f>
        <v>580</v>
      </c>
      <c r="Z18" s="313">
        <f>ROUND(Y18,0)</f>
        <v>580</v>
      </c>
    </row>
    <row r="19" spans="2:26">
      <c r="D19" s="302"/>
      <c r="E19" s="303"/>
      <c r="F19" s="303"/>
      <c r="G19" s="303"/>
      <c r="H19" s="303"/>
      <c r="I19" s="303"/>
      <c r="J19" s="304"/>
      <c r="K19" s="242"/>
      <c r="L19" s="302"/>
      <c r="M19" s="303"/>
      <c r="N19" s="303"/>
      <c r="O19" s="303"/>
      <c r="P19" s="303"/>
      <c r="Q19" s="303"/>
      <c r="R19" s="304"/>
      <c r="S19" s="242"/>
      <c r="T19" s="302"/>
      <c r="U19" s="303"/>
      <c r="V19" s="303"/>
      <c r="W19" s="303"/>
      <c r="X19" s="303"/>
      <c r="Y19" s="303"/>
      <c r="Z19" s="304"/>
    </row>
    <row r="20" spans="2:26" ht="15.6">
      <c r="C20" s="257" t="s">
        <v>286</v>
      </c>
      <c r="D20" s="314"/>
      <c r="E20" s="326"/>
      <c r="F20" s="326"/>
      <c r="G20" s="326"/>
      <c r="H20" s="326"/>
      <c r="I20" s="327" t="s">
        <v>316</v>
      </c>
      <c r="J20" s="328">
        <f>MAX(J15:J18)</f>
        <v>580</v>
      </c>
      <c r="K20" s="242"/>
      <c r="L20" s="333"/>
      <c r="M20" s="326"/>
      <c r="N20" s="326"/>
      <c r="O20" s="326"/>
      <c r="P20" s="326"/>
      <c r="Q20" s="327" t="s">
        <v>317</v>
      </c>
      <c r="R20" s="328">
        <f>MAX(R15:R18)</f>
        <v>584</v>
      </c>
      <c r="S20" s="242"/>
      <c r="T20" s="333"/>
      <c r="U20" s="326"/>
      <c r="V20" s="326"/>
      <c r="W20" s="326"/>
      <c r="X20" s="326"/>
      <c r="Y20" s="327" t="s">
        <v>318</v>
      </c>
      <c r="Z20" s="328">
        <f>MAX(Z15:Z18)</f>
        <v>580</v>
      </c>
    </row>
    <row r="21" spans="2:26" ht="15.6">
      <c r="D21" s="316"/>
      <c r="E21" s="303"/>
      <c r="F21" s="303"/>
      <c r="G21" s="303"/>
      <c r="H21" s="303"/>
      <c r="I21" s="303"/>
      <c r="J21" s="315"/>
      <c r="K21" s="242"/>
      <c r="L21" s="316"/>
      <c r="M21" s="303"/>
      <c r="N21" s="303"/>
      <c r="O21" s="303"/>
      <c r="P21" s="303"/>
      <c r="Q21" s="303"/>
      <c r="R21" s="315"/>
      <c r="S21" s="242"/>
      <c r="T21" s="316"/>
      <c r="U21" s="303"/>
      <c r="V21" s="303"/>
      <c r="W21" s="303"/>
      <c r="X21" s="303"/>
      <c r="Y21" s="303"/>
      <c r="Z21" s="315"/>
    </row>
    <row r="22" spans="2:26" s="153" customFormat="1" ht="62.25" customHeight="1">
      <c r="B22" s="278" t="s">
        <v>280</v>
      </c>
      <c r="C22" s="154" t="s">
        <v>282</v>
      </c>
      <c r="D22" s="305" t="s">
        <v>284</v>
      </c>
      <c r="E22" s="306"/>
      <c r="F22" s="306" t="s">
        <v>127</v>
      </c>
      <c r="G22" s="306" t="s">
        <v>242</v>
      </c>
      <c r="H22" s="306" t="s">
        <v>243</v>
      </c>
      <c r="I22" s="306" t="s">
        <v>124</v>
      </c>
      <c r="J22" s="307" t="s">
        <v>125</v>
      </c>
      <c r="K22" s="337"/>
      <c r="L22" s="305" t="s">
        <v>284</v>
      </c>
      <c r="M22" s="306"/>
      <c r="N22" s="306" t="s">
        <v>127</v>
      </c>
      <c r="O22" s="306" t="s">
        <v>242</v>
      </c>
      <c r="P22" s="306" t="s">
        <v>243</v>
      </c>
      <c r="Q22" s="306" t="s">
        <v>124</v>
      </c>
      <c r="R22" s="307" t="s">
        <v>125</v>
      </c>
      <c r="S22" s="242"/>
      <c r="T22" s="305" t="s">
        <v>284</v>
      </c>
      <c r="U22" s="306"/>
      <c r="V22" s="306" t="s">
        <v>127</v>
      </c>
      <c r="W22" s="306" t="s">
        <v>242</v>
      </c>
      <c r="X22" s="306" t="s">
        <v>243</v>
      </c>
      <c r="Y22" s="306" t="s">
        <v>124</v>
      </c>
      <c r="Z22" s="307" t="s">
        <v>125</v>
      </c>
    </row>
    <row r="23" spans="2:26">
      <c r="D23" s="308" t="s">
        <v>244</v>
      </c>
      <c r="E23" s="303"/>
      <c r="F23" s="303"/>
      <c r="G23" s="303"/>
      <c r="H23" s="303"/>
      <c r="I23" s="303"/>
      <c r="J23" s="304"/>
      <c r="K23" s="242"/>
      <c r="L23" s="308" t="s">
        <v>244</v>
      </c>
      <c r="M23" s="303"/>
      <c r="N23" s="303"/>
      <c r="O23" s="303"/>
      <c r="P23" s="303"/>
      <c r="Q23" s="303"/>
      <c r="R23" s="304"/>
      <c r="S23" s="242"/>
      <c r="T23" s="308" t="s">
        <v>244</v>
      </c>
      <c r="U23" s="303"/>
      <c r="V23" s="303"/>
      <c r="W23" s="303"/>
      <c r="X23" s="303"/>
      <c r="Y23" s="303"/>
      <c r="Z23" s="304"/>
    </row>
    <row r="24" spans="2:26" ht="15.6">
      <c r="C24" s="89" t="s">
        <v>97</v>
      </c>
      <c r="D24" s="309">
        <v>250</v>
      </c>
      <c r="E24" s="303"/>
      <c r="F24" s="310">
        <f>ROUNDUP(D24,0)</f>
        <v>250</v>
      </c>
      <c r="G24" s="311">
        <v>105</v>
      </c>
      <c r="H24" s="310">
        <f>F24-G24</f>
        <v>145</v>
      </c>
      <c r="I24" s="312">
        <f>H24/0.25</f>
        <v>580</v>
      </c>
      <c r="J24" s="313">
        <f>ROUND(I24,0)</f>
        <v>580</v>
      </c>
      <c r="K24" s="242"/>
      <c r="L24" s="309">
        <v>250</v>
      </c>
      <c r="M24" s="303"/>
      <c r="N24" s="310">
        <f>ROUNDUP(L24,0)</f>
        <v>250</v>
      </c>
      <c r="O24" s="311">
        <v>105</v>
      </c>
      <c r="P24" s="310">
        <f>N24-O24</f>
        <v>145</v>
      </c>
      <c r="Q24" s="312">
        <f>P24/0.25</f>
        <v>580</v>
      </c>
      <c r="R24" s="313">
        <f>ROUND(Q24,0)</f>
        <v>580</v>
      </c>
      <c r="S24" s="242"/>
      <c r="T24" s="309">
        <v>250</v>
      </c>
      <c r="U24" s="303"/>
      <c r="V24" s="310">
        <f>ROUNDUP(T24,0)</f>
        <v>250</v>
      </c>
      <c r="W24" s="311">
        <v>105</v>
      </c>
      <c r="X24" s="310">
        <f>V24-W24</f>
        <v>145</v>
      </c>
      <c r="Y24" s="312">
        <f>X24/0.25</f>
        <v>580</v>
      </c>
      <c r="Z24" s="313">
        <f>ROUND(Y24,0)</f>
        <v>580</v>
      </c>
    </row>
    <row r="25" spans="2:26" ht="15.6">
      <c r="C25" s="89" t="s">
        <v>98</v>
      </c>
      <c r="D25" s="309">
        <v>400</v>
      </c>
      <c r="E25" s="303"/>
      <c r="F25" s="310">
        <f>ROUNDUP(D25,0)</f>
        <v>400</v>
      </c>
      <c r="G25" s="311">
        <v>110</v>
      </c>
      <c r="H25" s="310">
        <f>F25-G25</f>
        <v>290</v>
      </c>
      <c r="I25" s="312">
        <f>H25/0.5</f>
        <v>580</v>
      </c>
      <c r="J25" s="313">
        <f>ROUND(I25,0)</f>
        <v>580</v>
      </c>
      <c r="K25" s="242"/>
      <c r="L25" s="309">
        <v>400</v>
      </c>
      <c r="M25" s="303"/>
      <c r="N25" s="310">
        <f>ROUNDUP(L25,0)</f>
        <v>400</v>
      </c>
      <c r="O25" s="311">
        <v>110</v>
      </c>
      <c r="P25" s="310">
        <f>N25-O25</f>
        <v>290</v>
      </c>
      <c r="Q25" s="312">
        <f>P25/0.5</f>
        <v>580</v>
      </c>
      <c r="R25" s="313">
        <f>ROUND(Q25,0)</f>
        <v>580</v>
      </c>
      <c r="S25" s="242"/>
      <c r="T25" s="309">
        <v>400</v>
      </c>
      <c r="U25" s="303"/>
      <c r="V25" s="310">
        <f>ROUNDUP(T25,0)</f>
        <v>400</v>
      </c>
      <c r="W25" s="311">
        <v>110</v>
      </c>
      <c r="X25" s="310">
        <f>V25-W25</f>
        <v>290</v>
      </c>
      <c r="Y25" s="312">
        <f>X25/0.5</f>
        <v>580</v>
      </c>
      <c r="Z25" s="313">
        <f>ROUND(Y25,0)</f>
        <v>580</v>
      </c>
    </row>
    <row r="26" spans="2:26" ht="15.6">
      <c r="C26" s="89" t="s">
        <v>99</v>
      </c>
      <c r="D26" s="309">
        <v>525</v>
      </c>
      <c r="E26" s="303"/>
      <c r="F26" s="310">
        <f>ROUNDUP(D26,0)</f>
        <v>525</v>
      </c>
      <c r="G26" s="311">
        <v>90</v>
      </c>
      <c r="H26" s="310">
        <f>F26-G26</f>
        <v>435</v>
      </c>
      <c r="I26" s="312">
        <f>H26/0.75</f>
        <v>580</v>
      </c>
      <c r="J26" s="313">
        <f>ROUND(I26,0)</f>
        <v>580</v>
      </c>
      <c r="K26" s="242"/>
      <c r="L26" s="309">
        <v>525</v>
      </c>
      <c r="M26" s="303"/>
      <c r="N26" s="310">
        <f>ROUNDUP(L26,0)</f>
        <v>525</v>
      </c>
      <c r="O26" s="311">
        <v>90</v>
      </c>
      <c r="P26" s="310">
        <f>N26-O26</f>
        <v>435</v>
      </c>
      <c r="Q26" s="312">
        <f>P26/0.75</f>
        <v>580</v>
      </c>
      <c r="R26" s="313">
        <f>ROUND(Q26,0)</f>
        <v>580</v>
      </c>
      <c r="S26" s="242"/>
      <c r="T26" s="309">
        <v>525</v>
      </c>
      <c r="U26" s="303"/>
      <c r="V26" s="310">
        <f>ROUNDUP(T26,0)</f>
        <v>525</v>
      </c>
      <c r="W26" s="311">
        <v>90</v>
      </c>
      <c r="X26" s="310">
        <f>V26-W26</f>
        <v>435</v>
      </c>
      <c r="Y26" s="312">
        <f>X26/0.75</f>
        <v>580</v>
      </c>
      <c r="Z26" s="313">
        <f>ROUND(Y26,0)</f>
        <v>580</v>
      </c>
    </row>
    <row r="27" spans="2:26" ht="15.6">
      <c r="C27" s="89" t="s">
        <v>126</v>
      </c>
      <c r="D27" s="309">
        <v>590</v>
      </c>
      <c r="E27" s="303"/>
      <c r="F27" s="310">
        <f>ROUNDUP(D27,0)</f>
        <v>590</v>
      </c>
      <c r="G27" s="311">
        <v>10</v>
      </c>
      <c r="H27" s="310">
        <f>F27-G27</f>
        <v>580</v>
      </c>
      <c r="I27" s="312">
        <f>H27/1</f>
        <v>580</v>
      </c>
      <c r="J27" s="313">
        <f>ROUND(I27,0)</f>
        <v>580</v>
      </c>
      <c r="K27" s="242"/>
      <c r="L27" s="309">
        <v>590</v>
      </c>
      <c r="M27" s="303"/>
      <c r="N27" s="310">
        <f>ROUNDUP(L27,0)</f>
        <v>590</v>
      </c>
      <c r="O27" s="311">
        <v>10</v>
      </c>
      <c r="P27" s="310">
        <f>N27-O27</f>
        <v>580</v>
      </c>
      <c r="Q27" s="312">
        <f>P27/1</f>
        <v>580</v>
      </c>
      <c r="R27" s="313">
        <f>ROUND(Q27,0)</f>
        <v>580</v>
      </c>
      <c r="S27" s="242"/>
      <c r="T27" s="309">
        <v>591</v>
      </c>
      <c r="U27" s="303"/>
      <c r="V27" s="310">
        <f>ROUNDUP(T27,0)</f>
        <v>591</v>
      </c>
      <c r="W27" s="311">
        <v>10</v>
      </c>
      <c r="X27" s="310">
        <f>V27-W27</f>
        <v>581</v>
      </c>
      <c r="Y27" s="312">
        <f>X27/1</f>
        <v>581</v>
      </c>
      <c r="Z27" s="313">
        <f>ROUND(Y27,0)</f>
        <v>581</v>
      </c>
    </row>
    <row r="28" spans="2:26">
      <c r="D28" s="302"/>
      <c r="E28" s="303"/>
      <c r="F28" s="303"/>
      <c r="G28" s="303"/>
      <c r="H28" s="303"/>
      <c r="I28" s="303"/>
      <c r="J28" s="304"/>
      <c r="K28" s="242"/>
      <c r="L28" s="302"/>
      <c r="M28" s="303"/>
      <c r="N28" s="303"/>
      <c r="O28" s="303"/>
      <c r="P28" s="303"/>
      <c r="Q28" s="303"/>
      <c r="R28" s="304"/>
      <c r="S28" s="242"/>
      <c r="T28" s="302"/>
      <c r="U28" s="303"/>
      <c r="V28" s="303"/>
      <c r="W28" s="303"/>
      <c r="X28" s="303"/>
      <c r="Y28" s="303"/>
      <c r="Z28" s="304"/>
    </row>
    <row r="29" spans="2:26" ht="15.6">
      <c r="C29" s="257" t="s">
        <v>286</v>
      </c>
      <c r="D29" s="314"/>
      <c r="E29" s="326"/>
      <c r="F29" s="326"/>
      <c r="G29" s="326"/>
      <c r="H29" s="326"/>
      <c r="I29" s="327" t="s">
        <v>316</v>
      </c>
      <c r="J29" s="328">
        <f>MAX(J24:J27)</f>
        <v>580</v>
      </c>
      <c r="K29" s="242"/>
      <c r="L29" s="333"/>
      <c r="M29" s="326"/>
      <c r="N29" s="326"/>
      <c r="O29" s="326"/>
      <c r="P29" s="326"/>
      <c r="Q29" s="327" t="s">
        <v>317</v>
      </c>
      <c r="R29" s="328">
        <f>MAX(R24:R27)</f>
        <v>580</v>
      </c>
      <c r="S29" s="242"/>
      <c r="T29" s="333"/>
      <c r="U29" s="326"/>
      <c r="V29" s="326"/>
      <c r="W29" s="326"/>
      <c r="X29" s="326"/>
      <c r="Y29" s="327" t="s">
        <v>318</v>
      </c>
      <c r="Z29" s="329">
        <f>MAX(Z24:Z27)</f>
        <v>581</v>
      </c>
    </row>
    <row r="30" spans="2:26" ht="15.6">
      <c r="D30" s="316"/>
      <c r="E30" s="303"/>
      <c r="F30" s="303"/>
      <c r="G30" s="303"/>
      <c r="H30" s="303"/>
      <c r="I30" s="303"/>
      <c r="J30" s="315"/>
      <c r="K30" s="242"/>
      <c r="L30" s="316"/>
      <c r="M30" s="303"/>
      <c r="N30" s="303"/>
      <c r="O30" s="303"/>
      <c r="P30" s="303"/>
      <c r="Q30" s="303"/>
      <c r="R30" s="315"/>
      <c r="S30" s="242"/>
      <c r="T30" s="316"/>
      <c r="U30" s="303"/>
      <c r="V30" s="303"/>
      <c r="W30" s="303"/>
      <c r="X30" s="303"/>
      <c r="Y30" s="303"/>
      <c r="Z30" s="315"/>
    </row>
    <row r="31" spans="2:26" s="153" customFormat="1" ht="62.25" customHeight="1">
      <c r="B31" s="278" t="s">
        <v>283</v>
      </c>
      <c r="C31" s="154"/>
      <c r="D31" s="305" t="s">
        <v>284</v>
      </c>
      <c r="E31" s="306"/>
      <c r="F31" s="306" t="s">
        <v>127</v>
      </c>
      <c r="G31" s="306" t="s">
        <v>242</v>
      </c>
      <c r="H31" s="306" t="s">
        <v>285</v>
      </c>
      <c r="I31" s="306" t="s">
        <v>128</v>
      </c>
      <c r="J31" s="307" t="s">
        <v>129</v>
      </c>
      <c r="K31" s="337"/>
      <c r="L31" s="305" t="s">
        <v>284</v>
      </c>
      <c r="M31" s="306"/>
      <c r="N31" s="306" t="s">
        <v>127</v>
      </c>
      <c r="O31" s="306" t="s">
        <v>242</v>
      </c>
      <c r="P31" s="306" t="s">
        <v>285</v>
      </c>
      <c r="Q31" s="306" t="s">
        <v>128</v>
      </c>
      <c r="R31" s="307" t="s">
        <v>129</v>
      </c>
      <c r="S31" s="242"/>
      <c r="T31" s="305" t="s">
        <v>284</v>
      </c>
      <c r="U31" s="306"/>
      <c r="V31" s="306" t="s">
        <v>127</v>
      </c>
      <c r="W31" s="306" t="s">
        <v>242</v>
      </c>
      <c r="X31" s="306" t="s">
        <v>285</v>
      </c>
      <c r="Y31" s="306" t="s">
        <v>128</v>
      </c>
      <c r="Z31" s="307" t="s">
        <v>129</v>
      </c>
    </row>
    <row r="32" spans="2:26">
      <c r="D32" s="308" t="s">
        <v>244</v>
      </c>
      <c r="E32" s="303"/>
      <c r="F32" s="303"/>
      <c r="G32" s="303"/>
      <c r="H32" s="303"/>
      <c r="I32" s="303"/>
      <c r="J32" s="304"/>
      <c r="K32" s="242"/>
      <c r="L32" s="308" t="s">
        <v>244</v>
      </c>
      <c r="M32" s="303"/>
      <c r="N32" s="303"/>
      <c r="O32" s="303"/>
      <c r="P32" s="303"/>
      <c r="Q32" s="303"/>
      <c r="R32" s="304"/>
      <c r="S32" s="242"/>
      <c r="T32" s="308" t="s">
        <v>244</v>
      </c>
      <c r="U32" s="303"/>
      <c r="V32" s="303"/>
      <c r="W32" s="303"/>
      <c r="X32" s="303"/>
      <c r="Y32" s="303"/>
      <c r="Z32" s="304"/>
    </row>
    <row r="33" spans="2:26" ht="15.6">
      <c r="C33" s="89" t="s">
        <v>98</v>
      </c>
      <c r="D33" s="309">
        <v>330.1</v>
      </c>
      <c r="E33" s="303"/>
      <c r="F33" s="310">
        <f>ROUNDUP(D33,0)</f>
        <v>331</v>
      </c>
      <c r="G33" s="311">
        <v>50</v>
      </c>
      <c r="H33" s="310">
        <f>F33-G33</f>
        <v>281</v>
      </c>
      <c r="I33" s="312">
        <f>H33/0.5</f>
        <v>562</v>
      </c>
      <c r="J33" s="313">
        <f>ROUND(I33,0)</f>
        <v>562</v>
      </c>
      <c r="K33" s="242"/>
      <c r="L33" s="309">
        <v>331.1</v>
      </c>
      <c r="M33" s="303"/>
      <c r="N33" s="310">
        <f>ROUNDUP(L33,0)</f>
        <v>332</v>
      </c>
      <c r="O33" s="311">
        <v>50</v>
      </c>
      <c r="P33" s="310">
        <f>N33-O33</f>
        <v>282</v>
      </c>
      <c r="Q33" s="312">
        <f>P33/0.5</f>
        <v>564</v>
      </c>
      <c r="R33" s="313">
        <f>ROUND(Q33,0)</f>
        <v>564</v>
      </c>
      <c r="S33" s="242"/>
      <c r="T33" s="309">
        <v>330.1</v>
      </c>
      <c r="U33" s="303"/>
      <c r="V33" s="310">
        <f>ROUNDUP(T33,0)</f>
        <v>331</v>
      </c>
      <c r="W33" s="311">
        <v>50</v>
      </c>
      <c r="X33" s="310">
        <f>V33-W33</f>
        <v>281</v>
      </c>
      <c r="Y33" s="312">
        <f>X33/0.5</f>
        <v>562</v>
      </c>
      <c r="Z33" s="313">
        <f>ROUND(Y33,0)</f>
        <v>562</v>
      </c>
    </row>
    <row r="34" spans="2:26">
      <c r="D34" s="302"/>
      <c r="E34" s="303"/>
      <c r="F34" s="303"/>
      <c r="G34" s="303"/>
      <c r="H34" s="303"/>
      <c r="I34" s="303"/>
      <c r="J34" s="304"/>
      <c r="K34" s="242"/>
      <c r="L34" s="302"/>
      <c r="M34" s="303"/>
      <c r="N34" s="303"/>
      <c r="O34" s="303"/>
      <c r="P34" s="303"/>
      <c r="Q34" s="303"/>
      <c r="R34" s="304"/>
      <c r="S34" s="242"/>
      <c r="T34" s="302"/>
      <c r="U34" s="303"/>
      <c r="V34" s="303"/>
      <c r="W34" s="303"/>
      <c r="X34" s="303"/>
      <c r="Y34" s="303"/>
      <c r="Z34" s="304"/>
    </row>
    <row r="35" spans="2:26" ht="15.6">
      <c r="C35" s="257" t="s">
        <v>287</v>
      </c>
      <c r="D35" s="320"/>
      <c r="E35" s="330"/>
      <c r="F35" s="330"/>
      <c r="G35" s="330"/>
      <c r="H35" s="330"/>
      <c r="I35" s="331" t="s">
        <v>319</v>
      </c>
      <c r="J35" s="339">
        <f>J33</f>
        <v>562</v>
      </c>
      <c r="K35" s="242"/>
      <c r="L35" s="334"/>
      <c r="M35" s="330"/>
      <c r="N35" s="330"/>
      <c r="O35" s="330"/>
      <c r="P35" s="330"/>
      <c r="Q35" s="331" t="s">
        <v>320</v>
      </c>
      <c r="R35" s="339">
        <f>R33</f>
        <v>564</v>
      </c>
      <c r="S35" s="242"/>
      <c r="T35" s="334"/>
      <c r="U35" s="330"/>
      <c r="V35" s="330"/>
      <c r="W35" s="330"/>
      <c r="X35" s="330"/>
      <c r="Y35" s="331" t="s">
        <v>321</v>
      </c>
      <c r="Z35" s="339">
        <f>Z33</f>
        <v>562</v>
      </c>
    </row>
    <row r="36" spans="2:26">
      <c r="D36" s="303"/>
      <c r="E36" s="303"/>
      <c r="F36" s="303"/>
      <c r="G36" s="303"/>
      <c r="H36" s="303"/>
      <c r="I36" s="303"/>
      <c r="J36" s="303"/>
      <c r="K36" s="336"/>
      <c r="L36" s="303"/>
      <c r="M36" s="303"/>
      <c r="N36" s="303"/>
      <c r="O36" s="303"/>
      <c r="P36" s="303"/>
      <c r="Q36" s="303"/>
      <c r="R36" s="303"/>
      <c r="S36" s="336"/>
      <c r="T36" s="303"/>
      <c r="U36" s="303"/>
      <c r="V36" s="303"/>
      <c r="W36" s="303"/>
      <c r="X36" s="303"/>
      <c r="Y36" s="303"/>
      <c r="Z36" s="303"/>
    </row>
    <row r="37" spans="2:26" s="321" customFormat="1" ht="38.25" customHeight="1">
      <c r="B37" s="322" t="s">
        <v>315</v>
      </c>
      <c r="K37" s="335"/>
      <c r="S37" s="335"/>
    </row>
    <row r="38" spans="2:26">
      <c r="D38" s="303"/>
      <c r="E38" s="303"/>
      <c r="F38" s="303"/>
      <c r="G38" s="303"/>
      <c r="H38" s="303"/>
      <c r="I38" s="303"/>
      <c r="J38" s="303"/>
      <c r="K38" s="336"/>
      <c r="L38" s="303"/>
      <c r="M38" s="303"/>
      <c r="N38" s="303"/>
      <c r="O38" s="303"/>
      <c r="P38" s="303"/>
      <c r="Q38" s="303"/>
      <c r="R38" s="303"/>
      <c r="S38" s="336"/>
      <c r="T38" s="303"/>
      <c r="U38" s="303"/>
      <c r="V38" s="303"/>
      <c r="W38" s="303"/>
      <c r="X38" s="303"/>
      <c r="Y38" s="303"/>
      <c r="Z38" s="303"/>
    </row>
    <row r="39" spans="2:26" s="153" customFormat="1" ht="62.25" customHeight="1">
      <c r="B39" s="278" t="s">
        <v>296</v>
      </c>
      <c r="C39" s="154"/>
      <c r="D39" s="323" t="s">
        <v>284</v>
      </c>
      <c r="E39" s="324"/>
      <c r="F39" s="324" t="s">
        <v>127</v>
      </c>
      <c r="G39" s="324"/>
      <c r="H39" s="324"/>
      <c r="I39" s="324" t="s">
        <v>128</v>
      </c>
      <c r="J39" s="325" t="s">
        <v>129</v>
      </c>
      <c r="K39" s="338"/>
      <c r="L39" s="323" t="s">
        <v>284</v>
      </c>
      <c r="M39" s="324"/>
      <c r="N39" s="324" t="s">
        <v>127</v>
      </c>
      <c r="O39" s="324"/>
      <c r="P39" s="324"/>
      <c r="Q39" s="324" t="s">
        <v>128</v>
      </c>
      <c r="R39" s="325" t="s">
        <v>129</v>
      </c>
      <c r="S39" s="336"/>
      <c r="T39" s="323" t="s">
        <v>284</v>
      </c>
      <c r="U39" s="324"/>
      <c r="V39" s="324" t="s">
        <v>127</v>
      </c>
      <c r="W39" s="324"/>
      <c r="X39" s="324"/>
      <c r="Y39" s="324" t="s">
        <v>128</v>
      </c>
      <c r="Z39" s="325" t="s">
        <v>129</v>
      </c>
    </row>
    <row r="40" spans="2:26">
      <c r="D40" s="308" t="s">
        <v>244</v>
      </c>
      <c r="E40" s="303"/>
      <c r="F40" s="303"/>
      <c r="G40" s="303"/>
      <c r="H40" s="303"/>
      <c r="I40" s="303"/>
      <c r="J40" s="304"/>
      <c r="K40" s="336"/>
      <c r="L40" s="308" t="s">
        <v>244</v>
      </c>
      <c r="M40" s="303"/>
      <c r="N40" s="303"/>
      <c r="O40" s="303"/>
      <c r="P40" s="303"/>
      <c r="Q40" s="303"/>
      <c r="R40" s="304"/>
      <c r="S40" s="336"/>
      <c r="T40" s="308" t="s">
        <v>244</v>
      </c>
      <c r="U40" s="303"/>
      <c r="V40" s="303"/>
      <c r="W40" s="303"/>
      <c r="X40" s="303"/>
      <c r="Y40" s="303"/>
      <c r="Z40" s="304"/>
    </row>
    <row r="41" spans="2:26" ht="15.6">
      <c r="C41" s="89" t="s">
        <v>297</v>
      </c>
      <c r="D41" s="309">
        <v>1002.1</v>
      </c>
      <c r="E41" s="303"/>
      <c r="F41" s="310">
        <f>ROUNDUP(D41,0)</f>
        <v>1003</v>
      </c>
      <c r="G41" s="303"/>
      <c r="H41" s="303"/>
      <c r="I41" s="310">
        <f>F41/2</f>
        <v>501.5</v>
      </c>
      <c r="J41" s="317">
        <f>ROUND(I41,0)</f>
        <v>502</v>
      </c>
      <c r="K41" s="336"/>
      <c r="L41" s="309">
        <v>1002.1</v>
      </c>
      <c r="M41" s="303"/>
      <c r="N41" s="310">
        <f>ROUNDUP(L41,0)</f>
        <v>1003</v>
      </c>
      <c r="O41" s="303"/>
      <c r="P41" s="303"/>
      <c r="Q41" s="310">
        <f>N41/2</f>
        <v>501.5</v>
      </c>
      <c r="R41" s="317">
        <f>ROUND(Q41,0)</f>
        <v>502</v>
      </c>
      <c r="S41" s="336"/>
      <c r="T41" s="309">
        <v>1002.1</v>
      </c>
      <c r="U41" s="303"/>
      <c r="V41" s="310">
        <f>ROUNDUP(T41,0)</f>
        <v>1003</v>
      </c>
      <c r="W41" s="303"/>
      <c r="X41" s="303"/>
      <c r="Y41" s="310">
        <f>V41/2</f>
        <v>501.5</v>
      </c>
      <c r="Z41" s="317">
        <f>ROUND(Y41,0)</f>
        <v>502</v>
      </c>
    </row>
    <row r="42" spans="2:26" ht="15.6">
      <c r="D42" s="318"/>
      <c r="E42" s="303"/>
      <c r="F42" s="310"/>
      <c r="G42" s="303"/>
      <c r="H42" s="303"/>
      <c r="I42" s="310"/>
      <c r="J42" s="317"/>
      <c r="K42" s="336"/>
      <c r="L42" s="318"/>
      <c r="M42" s="303"/>
      <c r="N42" s="310"/>
      <c r="O42" s="303"/>
      <c r="P42" s="303"/>
      <c r="Q42" s="310"/>
      <c r="R42" s="317"/>
      <c r="S42" s="336"/>
      <c r="T42" s="318"/>
      <c r="U42" s="303"/>
      <c r="V42" s="310"/>
      <c r="W42" s="303"/>
      <c r="X42" s="303"/>
      <c r="Y42" s="310"/>
      <c r="Z42" s="317"/>
    </row>
    <row r="43" spans="2:26" ht="15.6">
      <c r="C43" s="257" t="s">
        <v>301</v>
      </c>
      <c r="D43" s="314"/>
      <c r="E43" s="326"/>
      <c r="F43" s="326"/>
      <c r="G43" s="326"/>
      <c r="H43" s="326"/>
      <c r="I43" s="327" t="s">
        <v>319</v>
      </c>
      <c r="J43" s="328">
        <f>J41</f>
        <v>502</v>
      </c>
      <c r="K43" s="242"/>
      <c r="L43" s="333"/>
      <c r="M43" s="326"/>
      <c r="N43" s="326"/>
      <c r="O43" s="326"/>
      <c r="P43" s="326"/>
      <c r="Q43" s="327" t="s">
        <v>320</v>
      </c>
      <c r="R43" s="328">
        <f>R41</f>
        <v>502</v>
      </c>
      <c r="S43" s="242"/>
      <c r="T43" s="333"/>
      <c r="U43" s="326"/>
      <c r="V43" s="326"/>
      <c r="W43" s="326"/>
      <c r="X43" s="326"/>
      <c r="Y43" s="327" t="s">
        <v>321</v>
      </c>
      <c r="Z43" s="328">
        <f>Z41</f>
        <v>502</v>
      </c>
    </row>
    <row r="44" spans="2:26" ht="15.6">
      <c r="D44" s="302"/>
      <c r="E44" s="303"/>
      <c r="F44" s="310"/>
      <c r="G44" s="303"/>
      <c r="H44" s="303"/>
      <c r="I44" s="310"/>
      <c r="J44" s="317"/>
      <c r="K44" s="336"/>
      <c r="L44" s="302"/>
      <c r="M44" s="303"/>
      <c r="N44" s="310"/>
      <c r="O44" s="303"/>
      <c r="P44" s="303"/>
      <c r="Q44" s="310"/>
      <c r="R44" s="317"/>
      <c r="S44" s="336"/>
      <c r="T44" s="302"/>
      <c r="U44" s="303"/>
      <c r="V44" s="310"/>
      <c r="W44" s="303"/>
      <c r="X44" s="303"/>
      <c r="Y44" s="310"/>
      <c r="Z44" s="317"/>
    </row>
    <row r="45" spans="2:26" s="153" customFormat="1" ht="62.25" customHeight="1">
      <c r="B45" s="278" t="s">
        <v>313</v>
      </c>
      <c r="C45" s="154"/>
      <c r="D45" s="305" t="s">
        <v>284</v>
      </c>
      <c r="E45" s="306"/>
      <c r="F45" s="306" t="s">
        <v>127</v>
      </c>
      <c r="G45" s="306" t="s">
        <v>299</v>
      </c>
      <c r="H45" s="306" t="s">
        <v>300</v>
      </c>
      <c r="I45" s="306" t="s">
        <v>128</v>
      </c>
      <c r="J45" s="307" t="s">
        <v>129</v>
      </c>
      <c r="K45" s="338"/>
      <c r="L45" s="305" t="s">
        <v>284</v>
      </c>
      <c r="M45" s="306"/>
      <c r="N45" s="306" t="s">
        <v>127</v>
      </c>
      <c r="O45" s="306" t="s">
        <v>299</v>
      </c>
      <c r="P45" s="306" t="s">
        <v>300</v>
      </c>
      <c r="Q45" s="306" t="s">
        <v>128</v>
      </c>
      <c r="R45" s="307" t="s">
        <v>129</v>
      </c>
      <c r="S45" s="336"/>
      <c r="T45" s="305" t="s">
        <v>284</v>
      </c>
      <c r="U45" s="306"/>
      <c r="V45" s="306" t="s">
        <v>127</v>
      </c>
      <c r="W45" s="306" t="s">
        <v>299</v>
      </c>
      <c r="X45" s="306" t="s">
        <v>300</v>
      </c>
      <c r="Y45" s="306" t="s">
        <v>128</v>
      </c>
      <c r="Z45" s="307" t="s">
        <v>129</v>
      </c>
    </row>
    <row r="46" spans="2:26">
      <c r="D46" s="308" t="s">
        <v>244</v>
      </c>
      <c r="E46" s="303"/>
      <c r="F46" s="303"/>
      <c r="G46" s="303"/>
      <c r="H46" s="303"/>
      <c r="I46" s="303"/>
      <c r="J46" s="304"/>
      <c r="K46" s="336"/>
      <c r="L46" s="308" t="s">
        <v>244</v>
      </c>
      <c r="M46" s="303"/>
      <c r="N46" s="303"/>
      <c r="O46" s="303"/>
      <c r="P46" s="303"/>
      <c r="Q46" s="303"/>
      <c r="R46" s="304"/>
      <c r="S46" s="336"/>
      <c r="T46" s="308" t="s">
        <v>244</v>
      </c>
      <c r="U46" s="303"/>
      <c r="V46" s="303"/>
      <c r="W46" s="303"/>
      <c r="X46" s="303"/>
      <c r="Y46" s="303"/>
      <c r="Z46" s="304"/>
    </row>
    <row r="47" spans="2:26" ht="15.6">
      <c r="C47" s="89" t="s">
        <v>97</v>
      </c>
      <c r="D47" s="309">
        <v>1152.0999999999999</v>
      </c>
      <c r="E47" s="303"/>
      <c r="F47" s="310">
        <f>ROUNDUP(D47,0)</f>
        <v>1153</v>
      </c>
      <c r="G47" s="311">
        <v>152</v>
      </c>
      <c r="H47" s="310">
        <f>F47-G47</f>
        <v>1001</v>
      </c>
      <c r="I47" s="312">
        <f>H47/2</f>
        <v>500.5</v>
      </c>
      <c r="J47" s="313">
        <f>ROUND(I47,0)</f>
        <v>501</v>
      </c>
      <c r="K47" s="336"/>
      <c r="L47" s="309">
        <v>1152.0999999999999</v>
      </c>
      <c r="M47" s="303"/>
      <c r="N47" s="310">
        <f>ROUNDUP(L47,0)</f>
        <v>1153</v>
      </c>
      <c r="O47" s="311">
        <v>152</v>
      </c>
      <c r="P47" s="310">
        <f>N47-O47</f>
        <v>1001</v>
      </c>
      <c r="Q47" s="312">
        <f>P47/2</f>
        <v>500.5</v>
      </c>
      <c r="R47" s="313">
        <f>ROUND(Q47,0)</f>
        <v>501</v>
      </c>
      <c r="S47" s="336"/>
      <c r="T47" s="309">
        <v>1152.0999999999999</v>
      </c>
      <c r="U47" s="303"/>
      <c r="V47" s="310">
        <f>ROUNDUP(T47,0)</f>
        <v>1153</v>
      </c>
      <c r="W47" s="311">
        <v>152</v>
      </c>
      <c r="X47" s="310">
        <f>V47-W47</f>
        <v>1001</v>
      </c>
      <c r="Y47" s="312">
        <f>X47/2</f>
        <v>500.5</v>
      </c>
      <c r="Z47" s="313">
        <f>ROUND(Y47,0)</f>
        <v>501</v>
      </c>
    </row>
    <row r="48" spans="2:26" ht="15.6">
      <c r="C48" s="89" t="s">
        <v>98</v>
      </c>
      <c r="D48" s="309">
        <v>1152</v>
      </c>
      <c r="E48" s="303"/>
      <c r="F48" s="310">
        <f>ROUNDUP(D48,0)</f>
        <v>1152</v>
      </c>
      <c r="G48" s="311">
        <v>152</v>
      </c>
      <c r="H48" s="310">
        <f>F48-G48</f>
        <v>1000</v>
      </c>
      <c r="I48" s="312">
        <f>H48/2</f>
        <v>500</v>
      </c>
      <c r="J48" s="313">
        <f>ROUND(I48,0)</f>
        <v>500</v>
      </c>
      <c r="K48" s="336"/>
      <c r="L48" s="309">
        <v>1152</v>
      </c>
      <c r="M48" s="303"/>
      <c r="N48" s="310">
        <f>ROUNDUP(L48,0)</f>
        <v>1152</v>
      </c>
      <c r="O48" s="311">
        <v>152</v>
      </c>
      <c r="P48" s="310">
        <f>N48-O48</f>
        <v>1000</v>
      </c>
      <c r="Q48" s="312">
        <f>P48/2</f>
        <v>500</v>
      </c>
      <c r="R48" s="313">
        <f>ROUND(Q48,0)</f>
        <v>500</v>
      </c>
      <c r="S48" s="336"/>
      <c r="T48" s="309">
        <v>1152</v>
      </c>
      <c r="U48" s="303"/>
      <c r="V48" s="310">
        <f>ROUNDUP(T48,0)</f>
        <v>1152</v>
      </c>
      <c r="W48" s="311">
        <v>152</v>
      </c>
      <c r="X48" s="310">
        <f>V48-W48</f>
        <v>1000</v>
      </c>
      <c r="Y48" s="312">
        <f>X48/2</f>
        <v>500</v>
      </c>
      <c r="Z48" s="313">
        <f>ROUND(Y48,0)</f>
        <v>500</v>
      </c>
    </row>
    <row r="49" spans="2:26" ht="15.6">
      <c r="C49" s="89" t="s">
        <v>99</v>
      </c>
      <c r="D49" s="309">
        <v>1154</v>
      </c>
      <c r="E49" s="303"/>
      <c r="F49" s="310">
        <f>ROUNDUP(D49,0)</f>
        <v>1154</v>
      </c>
      <c r="G49" s="311">
        <v>152</v>
      </c>
      <c r="H49" s="310">
        <f>F49-G49</f>
        <v>1002</v>
      </c>
      <c r="I49" s="312">
        <f>H49/2</f>
        <v>501</v>
      </c>
      <c r="J49" s="313">
        <f>ROUND(I49,0)</f>
        <v>501</v>
      </c>
      <c r="K49" s="336"/>
      <c r="L49" s="309">
        <v>1154</v>
      </c>
      <c r="M49" s="303"/>
      <c r="N49" s="310">
        <f>ROUNDUP(L49,0)</f>
        <v>1154</v>
      </c>
      <c r="O49" s="311">
        <v>152</v>
      </c>
      <c r="P49" s="310">
        <f>N49-O49</f>
        <v>1002</v>
      </c>
      <c r="Q49" s="312">
        <f>P49/2</f>
        <v>501</v>
      </c>
      <c r="R49" s="313">
        <f>ROUND(Q49,0)</f>
        <v>501</v>
      </c>
      <c r="S49" s="336"/>
      <c r="T49" s="309">
        <v>1154</v>
      </c>
      <c r="U49" s="303"/>
      <c r="V49" s="310">
        <f>ROUNDUP(T49,0)</f>
        <v>1154</v>
      </c>
      <c r="W49" s="311">
        <v>152</v>
      </c>
      <c r="X49" s="310">
        <f>V49-W49</f>
        <v>1002</v>
      </c>
      <c r="Y49" s="312">
        <f>X49/2</f>
        <v>501</v>
      </c>
      <c r="Z49" s="313">
        <f>ROUND(Y49,0)</f>
        <v>501</v>
      </c>
    </row>
    <row r="50" spans="2:26" ht="15.6">
      <c r="C50" s="89" t="s">
        <v>298</v>
      </c>
      <c r="D50" s="309">
        <v>1156.0999999999999</v>
      </c>
      <c r="E50" s="303"/>
      <c r="F50" s="310">
        <f>ROUNDUP(D50,0)</f>
        <v>1157</v>
      </c>
      <c r="G50" s="311">
        <v>152</v>
      </c>
      <c r="H50" s="310">
        <f>F50-G50</f>
        <v>1005</v>
      </c>
      <c r="I50" s="312">
        <f>H50/2</f>
        <v>502.5</v>
      </c>
      <c r="J50" s="313">
        <f>ROUND(I50,0)</f>
        <v>503</v>
      </c>
      <c r="K50" s="336"/>
      <c r="L50" s="309">
        <v>1156.0999999999999</v>
      </c>
      <c r="M50" s="303"/>
      <c r="N50" s="310">
        <f>ROUNDUP(L50,0)</f>
        <v>1157</v>
      </c>
      <c r="O50" s="311">
        <v>152</v>
      </c>
      <c r="P50" s="310">
        <f>N50-O50</f>
        <v>1005</v>
      </c>
      <c r="Q50" s="312">
        <f>P50/2</f>
        <v>502.5</v>
      </c>
      <c r="R50" s="313">
        <f>ROUND(Q50,0)</f>
        <v>503</v>
      </c>
      <c r="S50" s="336"/>
      <c r="T50" s="309">
        <v>1156.0999999999999</v>
      </c>
      <c r="U50" s="303"/>
      <c r="V50" s="310">
        <f>ROUNDUP(T50,0)</f>
        <v>1157</v>
      </c>
      <c r="W50" s="311">
        <v>152</v>
      </c>
      <c r="X50" s="310">
        <f>V50-W50</f>
        <v>1005</v>
      </c>
      <c r="Y50" s="312">
        <f>X50/2</f>
        <v>502.5</v>
      </c>
      <c r="Z50" s="313">
        <f>ROUND(Y50,0)</f>
        <v>503</v>
      </c>
    </row>
    <row r="51" spans="2:26" ht="15.6">
      <c r="D51" s="319"/>
      <c r="E51" s="312"/>
      <c r="F51" s="312"/>
      <c r="G51" s="312"/>
      <c r="H51" s="310"/>
      <c r="I51" s="312"/>
      <c r="J51" s="313"/>
      <c r="K51" s="336"/>
      <c r="L51" s="319"/>
      <c r="M51" s="312"/>
      <c r="N51" s="312"/>
      <c r="O51" s="312"/>
      <c r="P51" s="310"/>
      <c r="Q51" s="312"/>
      <c r="R51" s="313"/>
      <c r="S51" s="336"/>
      <c r="T51" s="319"/>
      <c r="U51" s="312"/>
      <c r="V51" s="312"/>
      <c r="W51" s="312"/>
      <c r="X51" s="310"/>
      <c r="Y51" s="312"/>
      <c r="Z51" s="313"/>
    </row>
    <row r="52" spans="2:26" ht="15.6">
      <c r="C52" s="257" t="s">
        <v>305</v>
      </c>
      <c r="D52" s="314"/>
      <c r="E52" s="326"/>
      <c r="F52" s="326"/>
      <c r="G52" s="326"/>
      <c r="H52" s="326"/>
      <c r="I52" s="327" t="s">
        <v>316</v>
      </c>
      <c r="J52" s="329">
        <f>MAX(J47:J50)</f>
        <v>503</v>
      </c>
      <c r="K52" s="242"/>
      <c r="L52" s="333"/>
      <c r="M52" s="326"/>
      <c r="N52" s="326"/>
      <c r="O52" s="326"/>
      <c r="P52" s="326"/>
      <c r="Q52" s="327" t="s">
        <v>317</v>
      </c>
      <c r="R52" s="329">
        <f>MAX(R47:R50)</f>
        <v>503</v>
      </c>
      <c r="S52" s="242"/>
      <c r="T52" s="333"/>
      <c r="U52" s="326"/>
      <c r="V52" s="326"/>
      <c r="W52" s="326"/>
      <c r="X52" s="326"/>
      <c r="Y52" s="327" t="s">
        <v>318</v>
      </c>
      <c r="Z52" s="329">
        <f>MAX(Z47:Z50)</f>
        <v>503</v>
      </c>
    </row>
    <row r="53" spans="2:26" ht="15.6">
      <c r="D53" s="319"/>
      <c r="E53" s="312"/>
      <c r="F53" s="312"/>
      <c r="G53" s="312"/>
      <c r="H53" s="310"/>
      <c r="I53" s="312"/>
      <c r="J53" s="313"/>
      <c r="K53" s="336"/>
      <c r="L53" s="319"/>
      <c r="M53" s="312"/>
      <c r="N53" s="312"/>
      <c r="O53" s="312"/>
      <c r="P53" s="310"/>
      <c r="Q53" s="312"/>
      <c r="R53" s="313"/>
      <c r="S53" s="336"/>
      <c r="T53" s="319"/>
      <c r="U53" s="312"/>
      <c r="V53" s="312"/>
      <c r="W53" s="312"/>
      <c r="X53" s="310"/>
      <c r="Y53" s="312"/>
      <c r="Z53" s="313"/>
    </row>
    <row r="54" spans="2:26" s="153" customFormat="1" ht="62.25" customHeight="1">
      <c r="B54" s="278" t="s">
        <v>314</v>
      </c>
      <c r="C54" s="154"/>
      <c r="D54" s="305" t="s">
        <v>284</v>
      </c>
      <c r="E54" s="306"/>
      <c r="F54" s="306" t="s">
        <v>127</v>
      </c>
      <c r="G54" s="306" t="s">
        <v>303</v>
      </c>
      <c r="H54" s="306" t="s">
        <v>304</v>
      </c>
      <c r="I54" s="306" t="s">
        <v>128</v>
      </c>
      <c r="J54" s="307" t="s">
        <v>129</v>
      </c>
      <c r="K54" s="338"/>
      <c r="L54" s="305" t="s">
        <v>284</v>
      </c>
      <c r="M54" s="306"/>
      <c r="N54" s="306" t="s">
        <v>127</v>
      </c>
      <c r="O54" s="306" t="s">
        <v>303</v>
      </c>
      <c r="P54" s="306" t="s">
        <v>304</v>
      </c>
      <c r="Q54" s="306" t="s">
        <v>128</v>
      </c>
      <c r="R54" s="307" t="s">
        <v>129</v>
      </c>
      <c r="S54" s="336"/>
      <c r="T54" s="305" t="s">
        <v>284</v>
      </c>
      <c r="U54" s="306"/>
      <c r="V54" s="306" t="s">
        <v>127</v>
      </c>
      <c r="W54" s="306" t="s">
        <v>303</v>
      </c>
      <c r="X54" s="306" t="s">
        <v>304</v>
      </c>
      <c r="Y54" s="306" t="s">
        <v>128</v>
      </c>
      <c r="Z54" s="307" t="s">
        <v>129</v>
      </c>
    </row>
    <row r="55" spans="2:26">
      <c r="D55" s="302"/>
      <c r="E55" s="303"/>
      <c r="F55" s="303"/>
      <c r="G55" s="303"/>
      <c r="H55" s="303"/>
      <c r="I55" s="303"/>
      <c r="J55" s="304"/>
      <c r="K55" s="336"/>
      <c r="L55" s="302"/>
      <c r="M55" s="303"/>
      <c r="N55" s="303"/>
      <c r="O55" s="303"/>
      <c r="P55" s="303"/>
      <c r="Q55" s="303"/>
      <c r="R55" s="304"/>
      <c r="S55" s="336"/>
      <c r="T55" s="302"/>
      <c r="U55" s="303"/>
      <c r="V55" s="303"/>
      <c r="W55" s="303"/>
      <c r="X55" s="303"/>
      <c r="Y55" s="303"/>
      <c r="Z55" s="304"/>
    </row>
    <row r="56" spans="2:26" ht="15.6">
      <c r="C56" s="89" t="s">
        <v>302</v>
      </c>
      <c r="D56" s="309">
        <v>600.1</v>
      </c>
      <c r="E56" s="303"/>
      <c r="F56" s="310">
        <f>ROUNDUP(D56,0)</f>
        <v>601</v>
      </c>
      <c r="G56" s="311">
        <v>100</v>
      </c>
      <c r="H56" s="310">
        <f>F56-G56</f>
        <v>501</v>
      </c>
      <c r="I56" s="312">
        <f>H56</f>
        <v>501</v>
      </c>
      <c r="J56" s="313">
        <f>ROUND(I56,0)</f>
        <v>501</v>
      </c>
      <c r="K56" s="336"/>
      <c r="L56" s="309">
        <v>599</v>
      </c>
      <c r="M56" s="303"/>
      <c r="N56" s="310">
        <f>ROUNDUP(L56,0)</f>
        <v>599</v>
      </c>
      <c r="O56" s="311">
        <v>100</v>
      </c>
      <c r="P56" s="310">
        <f>N56-O56</f>
        <v>499</v>
      </c>
      <c r="Q56" s="312">
        <f>P56</f>
        <v>499</v>
      </c>
      <c r="R56" s="313">
        <f>ROUND(Q56,0)</f>
        <v>499</v>
      </c>
      <c r="S56" s="336"/>
      <c r="T56" s="309">
        <v>600.1</v>
      </c>
      <c r="U56" s="303"/>
      <c r="V56" s="310">
        <f>ROUNDUP(T56,0)</f>
        <v>601</v>
      </c>
      <c r="W56" s="311">
        <v>100</v>
      </c>
      <c r="X56" s="310">
        <f>V56-W56</f>
        <v>501</v>
      </c>
      <c r="Y56" s="312">
        <f>X56</f>
        <v>501</v>
      </c>
      <c r="Z56" s="313">
        <f>ROUND(Y56,0)</f>
        <v>501</v>
      </c>
    </row>
    <row r="57" spans="2:26">
      <c r="D57" s="302"/>
      <c r="E57" s="303"/>
      <c r="F57" s="303"/>
      <c r="G57" s="303"/>
      <c r="H57" s="303"/>
      <c r="I57" s="303"/>
      <c r="J57" s="304"/>
      <c r="K57" s="336"/>
      <c r="L57" s="302"/>
      <c r="M57" s="303"/>
      <c r="N57" s="303"/>
      <c r="O57" s="303"/>
      <c r="P57" s="303"/>
      <c r="Q57" s="303"/>
      <c r="R57" s="304"/>
      <c r="S57" s="336"/>
      <c r="T57" s="302"/>
      <c r="U57" s="303"/>
      <c r="V57" s="303"/>
      <c r="W57" s="303"/>
      <c r="X57" s="303"/>
      <c r="Y57" s="303"/>
      <c r="Z57" s="304"/>
    </row>
    <row r="58" spans="2:26" ht="15.6">
      <c r="C58" s="257" t="s">
        <v>322</v>
      </c>
      <c r="D58" s="320"/>
      <c r="E58" s="330"/>
      <c r="F58" s="330"/>
      <c r="G58" s="330"/>
      <c r="H58" s="330"/>
      <c r="I58" s="331" t="s">
        <v>319</v>
      </c>
      <c r="J58" s="332">
        <f>J56</f>
        <v>501</v>
      </c>
      <c r="K58" s="242"/>
      <c r="L58" s="334"/>
      <c r="M58" s="330"/>
      <c r="N58" s="330"/>
      <c r="O58" s="330"/>
      <c r="P58" s="330"/>
      <c r="Q58" s="331" t="s">
        <v>320</v>
      </c>
      <c r="R58" s="332">
        <f>R56</f>
        <v>499</v>
      </c>
      <c r="S58" s="242"/>
      <c r="T58" s="334"/>
      <c r="U58" s="330"/>
      <c r="V58" s="330"/>
      <c r="W58" s="330"/>
      <c r="X58" s="330"/>
      <c r="Y58" s="331" t="s">
        <v>321</v>
      </c>
      <c r="Z58" s="332">
        <f>Z56</f>
        <v>501</v>
      </c>
    </row>
    <row r="60" spans="2:26" ht="15.6">
      <c r="B60" s="155" t="str">
        <f>'status of document'!B5</f>
        <v>Effective 1st April 2018</v>
      </c>
      <c r="C60" s="155" t="str">
        <f>'status of document'!B2</f>
        <v>FS and RC release version 1</v>
      </c>
      <c r="E60" s="155"/>
      <c r="G60" s="155"/>
      <c r="H60" s="155"/>
      <c r="I60" s="155"/>
      <c r="J60" s="277" t="str">
        <f>'status of document'!B7</f>
        <v>© 2018, IRSA</v>
      </c>
    </row>
  </sheetData>
  <sheetProtection algorithmName="SHA-512" hashValue="+dMidMn7jan6M5osNcvbnABbtwwwpVnsdl4heRjgpehEeaMayO41iSYY4ucI1cEPLtX3jvsdF8Kccw1MGBszXQ==" saltValue="aJvqivjf4VSpoy2ruQTsiQ==" spinCount="100000" sheet="1" objects="1" scenarios="1" selectLockedCells="1"/>
  <mergeCells count="6">
    <mergeCell ref="C7:J7"/>
    <mergeCell ref="C8:J8"/>
    <mergeCell ref="C9:J9"/>
    <mergeCell ref="D11:J11"/>
    <mergeCell ref="L11:R11"/>
    <mergeCell ref="T11:Z11"/>
  </mergeCells>
  <phoneticPr fontId="44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80"/>
  <sheetViews>
    <sheetView topLeftCell="A10" zoomScale="75" zoomScaleNormal="80" workbookViewId="0">
      <selection activeCell="M43" sqref="M43"/>
    </sheetView>
  </sheetViews>
  <sheetFormatPr baseColWidth="10" defaultColWidth="8.69921875" defaultRowHeight="15"/>
  <cols>
    <col min="1" max="1" width="9" style="2" customWidth="1"/>
    <col min="2" max="2" width="7.69921875" style="2" customWidth="1"/>
    <col min="3" max="3" width="8.69921875" style="2" customWidth="1"/>
    <col min="4" max="4" width="10" style="2" customWidth="1"/>
    <col min="5" max="6" width="8.69921875" style="2" customWidth="1"/>
    <col min="7" max="7" width="10.59765625" style="2" customWidth="1"/>
    <col min="8" max="8" width="5.19921875" style="2" customWidth="1"/>
    <col min="9" max="11" width="8.69921875" style="2" customWidth="1"/>
    <col min="12" max="12" width="10.09765625" style="2" customWidth="1"/>
    <col min="13" max="13" width="19.19921875" style="2" customWidth="1"/>
    <col min="14" max="14" width="20.69921875" style="2" customWidth="1"/>
    <col min="15" max="15" width="14.59765625" style="2" customWidth="1"/>
    <col min="16" max="16" width="4.19921875" style="2" customWidth="1"/>
    <col min="17" max="17" width="10.59765625" style="2" customWidth="1"/>
    <col min="18" max="26" width="10.59765625" style="2" hidden="1" customWidth="1"/>
    <col min="27" max="27" width="8.69921875" style="2" hidden="1" customWidth="1"/>
    <col min="28" max="16384" width="8.69921875" style="2"/>
  </cols>
  <sheetData>
    <row r="1" spans="2:27" ht="27" customHeight="1"/>
    <row r="2" spans="2:27" ht="31.5" customHeight="1"/>
    <row r="3" spans="2:27" s="89" customFormat="1" ht="42" customHeight="1">
      <c r="B3" s="225" t="s">
        <v>232</v>
      </c>
      <c r="J3" s="227"/>
      <c r="M3" s="240" t="s">
        <v>234</v>
      </c>
    </row>
    <row r="4" spans="2:27" s="89" customFormat="1" ht="36" customHeight="1">
      <c r="B4" s="241" t="s">
        <v>344</v>
      </c>
      <c r="C4" s="242"/>
      <c r="D4" s="242"/>
      <c r="E4" s="242"/>
      <c r="F4" s="242"/>
      <c r="G4" s="242"/>
      <c r="H4" s="242"/>
      <c r="I4" s="242"/>
      <c r="J4" s="243"/>
      <c r="K4" s="242"/>
      <c r="L4" s="242"/>
      <c r="M4" s="242"/>
      <c r="N4" s="242"/>
      <c r="O4" s="242"/>
      <c r="P4" s="242"/>
      <c r="Q4" s="242"/>
    </row>
    <row r="5" spans="2:27" s="89" customFormat="1" ht="27.75" customHeight="1">
      <c r="B5" s="244" t="s">
        <v>239</v>
      </c>
      <c r="C5" s="242"/>
      <c r="D5" s="242"/>
      <c r="E5" s="242"/>
      <c r="F5" s="242"/>
      <c r="G5" s="242"/>
      <c r="H5" s="242"/>
      <c r="I5" s="242"/>
      <c r="J5" s="243"/>
      <c r="K5" s="242"/>
      <c r="L5" s="242"/>
      <c r="M5" s="242"/>
      <c r="N5" s="242"/>
      <c r="O5" s="242"/>
      <c r="P5" s="242"/>
      <c r="Q5" s="242"/>
    </row>
    <row r="6" spans="2:27" s="151" customFormat="1" ht="21.75" customHeight="1">
      <c r="B6" s="152" t="s">
        <v>130</v>
      </c>
      <c r="M6" s="165" t="str">
        <f>'status of document'!B7</f>
        <v>© 2018, IRSA</v>
      </c>
    </row>
    <row r="7" spans="2:27" ht="15.6">
      <c r="B7" s="164" t="str">
        <f>'status of document'!B2</f>
        <v>FS and RC release version 1</v>
      </c>
      <c r="M7" s="221" t="str">
        <f>'status of document'!B5</f>
        <v>Effective 1st April 2018</v>
      </c>
    </row>
    <row r="8" spans="2:27" ht="52.5" customHeight="1">
      <c r="B8" s="220" t="s">
        <v>120</v>
      </c>
      <c r="C8" s="386" t="s">
        <v>275</v>
      </c>
      <c r="D8" s="387"/>
      <c r="E8" s="387"/>
      <c r="F8" s="387"/>
      <c r="G8" s="387"/>
      <c r="H8" s="387"/>
      <c r="I8" s="387"/>
      <c r="J8" s="387"/>
      <c r="K8" s="387"/>
      <c r="L8" s="387"/>
      <c r="M8" s="387"/>
      <c r="N8" s="387"/>
      <c r="O8" s="387"/>
      <c r="P8" s="387"/>
    </row>
    <row r="9" spans="2:27" ht="24" customHeight="1">
      <c r="B9" s="220" t="s">
        <v>121</v>
      </c>
      <c r="C9" s="388" t="s">
        <v>131</v>
      </c>
      <c r="D9" s="389"/>
      <c r="E9" s="389"/>
      <c r="F9" s="389"/>
      <c r="G9" s="389"/>
      <c r="H9" s="389"/>
      <c r="I9" s="389"/>
      <c r="J9" s="389"/>
      <c r="K9" s="389"/>
      <c r="L9" s="389"/>
      <c r="M9" s="389"/>
      <c r="N9" s="389"/>
      <c r="O9" s="389"/>
      <c r="P9" s="389"/>
    </row>
    <row r="10" spans="2:27" ht="39" customHeight="1">
      <c r="B10" s="220" t="s">
        <v>132</v>
      </c>
      <c r="C10" s="388" t="s">
        <v>273</v>
      </c>
      <c r="D10" s="389"/>
      <c r="E10" s="389"/>
      <c r="F10" s="389"/>
      <c r="G10" s="389"/>
      <c r="H10" s="389"/>
      <c r="I10" s="389"/>
      <c r="J10" s="389"/>
      <c r="K10" s="389"/>
      <c r="L10" s="389"/>
      <c r="M10" s="389"/>
      <c r="N10" s="389"/>
      <c r="O10" s="389"/>
      <c r="P10" s="389"/>
    </row>
    <row r="11" spans="2:27" ht="35.25" customHeight="1">
      <c r="B11" s="220" t="s">
        <v>123</v>
      </c>
      <c r="C11" s="388" t="s">
        <v>276</v>
      </c>
      <c r="D11" s="389"/>
      <c r="E11" s="389"/>
      <c r="F11" s="389"/>
      <c r="G11" s="389"/>
      <c r="H11" s="389"/>
      <c r="I11" s="389"/>
      <c r="J11" s="389"/>
      <c r="K11" s="389"/>
      <c r="L11" s="389"/>
      <c r="M11" s="389"/>
      <c r="N11" s="389"/>
      <c r="O11" s="389"/>
      <c r="P11" s="389"/>
    </row>
    <row r="12" spans="2:27" ht="6.75" customHeight="1"/>
    <row r="13" spans="2:27" ht="22.8">
      <c r="B13" s="13"/>
      <c r="C13" s="370" t="s">
        <v>77</v>
      </c>
      <c r="D13" s="370"/>
      <c r="E13" s="370"/>
      <c r="F13" s="370"/>
      <c r="G13" s="370"/>
      <c r="H13" s="370"/>
      <c r="I13" s="370"/>
      <c r="J13" s="370"/>
      <c r="K13" s="370"/>
      <c r="L13" s="370"/>
      <c r="M13" s="370"/>
      <c r="N13" s="370"/>
      <c r="O13" s="370"/>
      <c r="P13" s="4"/>
    </row>
    <row r="14" spans="2:27" ht="13.2" customHeight="1"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7"/>
    </row>
    <row r="15" spans="2:27" s="5" customFormat="1" ht="15.45" customHeight="1">
      <c r="B15" s="8"/>
      <c r="C15" s="132" t="s">
        <v>85</v>
      </c>
      <c r="D15" s="21"/>
      <c r="E15" s="373">
        <v>1183</v>
      </c>
      <c r="F15" s="374"/>
      <c r="G15" s="374"/>
      <c r="H15" s="106" t="str">
        <f t="shared" ref="H15:H20" si="0">IF(E15=0,"Required","")</f>
        <v/>
      </c>
      <c r="I15" s="24" t="s">
        <v>38</v>
      </c>
      <c r="J15" s="7"/>
      <c r="K15" s="7"/>
      <c r="L15" s="7"/>
      <c r="M15" s="6"/>
      <c r="N15" s="20"/>
      <c r="O15" s="20"/>
      <c r="P15" s="9"/>
    </row>
    <row r="16" spans="2:27" s="5" customFormat="1" ht="15.45" customHeight="1">
      <c r="B16" s="8"/>
      <c r="C16" s="132" t="s">
        <v>69</v>
      </c>
      <c r="D16" s="21"/>
      <c r="E16" s="371" t="s">
        <v>168</v>
      </c>
      <c r="F16" s="372"/>
      <c r="G16" s="372"/>
      <c r="H16" s="106" t="str">
        <f t="shared" si="0"/>
        <v/>
      </c>
      <c r="I16" s="128" t="s">
        <v>86</v>
      </c>
      <c r="J16" s="21"/>
      <c r="K16" s="82"/>
      <c r="L16" s="11"/>
      <c r="M16" s="357">
        <v>18.350999999999999</v>
      </c>
      <c r="N16" s="109" t="str">
        <f>IF(M16=0,"Required for RATING","")</f>
        <v/>
      </c>
      <c r="O16" s="20"/>
      <c r="P16" s="9"/>
      <c r="R16" s="129">
        <f>ROUND(M16,1)</f>
        <v>18.399999999999999</v>
      </c>
      <c r="AA16" s="256">
        <f>SUM(L32:M34)+3*SUM(M37:M43)+4*SUM(M21:M24)+6*SUM(M26:M29)+100*M16</f>
        <v>46399.1</v>
      </c>
    </row>
    <row r="17" spans="2:27" s="5" customFormat="1" ht="15.45" customHeight="1">
      <c r="B17" s="8"/>
      <c r="C17" s="21" t="s">
        <v>64</v>
      </c>
      <c r="D17" s="21"/>
      <c r="E17" s="371" t="s">
        <v>172</v>
      </c>
      <c r="F17" s="372"/>
      <c r="G17" s="372"/>
      <c r="H17" s="106" t="str">
        <f t="shared" si="0"/>
        <v/>
      </c>
      <c r="I17" s="131"/>
      <c r="J17" s="127"/>
      <c r="K17" s="127"/>
      <c r="L17" s="7"/>
      <c r="M17" s="6"/>
      <c r="N17" s="106" t="str">
        <f>T21</f>
        <v>RESOLVE ERROR IN RECORDED LENGTHS</v>
      </c>
      <c r="O17" s="31"/>
      <c r="P17" s="23"/>
      <c r="AA17" s="258">
        <f>AA16^0.5</f>
        <v>215.40450320269537</v>
      </c>
    </row>
    <row r="18" spans="2:27" s="5" customFormat="1" ht="15.45" customHeight="1">
      <c r="B18" s="8"/>
      <c r="C18" s="21" t="s">
        <v>65</v>
      </c>
      <c r="D18" s="21"/>
      <c r="E18" s="371" t="s">
        <v>171</v>
      </c>
      <c r="F18" s="372"/>
      <c r="G18" s="372"/>
      <c r="H18" s="106" t="str">
        <f t="shared" si="0"/>
        <v/>
      </c>
      <c r="I18" s="130" t="s">
        <v>175</v>
      </c>
      <c r="J18" s="21"/>
      <c r="K18" s="21"/>
      <c r="L18" s="3"/>
      <c r="M18" s="160">
        <v>2000</v>
      </c>
      <c r="N18" s="378" t="str">
        <f>IF(OR(M18=0,M19=0,M20=0),"USE, IF REQUIRED, 
TO CALCULATE FLWL","")</f>
        <v/>
      </c>
      <c r="O18" s="379"/>
      <c r="P18" s="380"/>
      <c r="Q18" s="22"/>
      <c r="R18" s="133">
        <f t="shared" ref="R18:R24" si="1">ROUNDUP(M18,0)</f>
        <v>2000</v>
      </c>
      <c r="T18" s="182" t="s">
        <v>79</v>
      </c>
      <c r="U18" s="182"/>
      <c r="V18" s="182"/>
      <c r="AA18" s="256">
        <f>INT(10000*AA17)</f>
        <v>2154045</v>
      </c>
    </row>
    <row r="19" spans="2:27" s="5" customFormat="1" ht="15.45" customHeight="1">
      <c r="B19" s="8"/>
      <c r="C19" s="21" t="s">
        <v>76</v>
      </c>
      <c r="D19" s="21"/>
      <c r="E19" s="371" t="s">
        <v>170</v>
      </c>
      <c r="F19" s="372"/>
      <c r="G19" s="372"/>
      <c r="H19" s="106" t="str">
        <f t="shared" si="0"/>
        <v/>
      </c>
      <c r="I19" s="130" t="s">
        <v>176</v>
      </c>
      <c r="J19" s="21"/>
      <c r="K19" s="21"/>
      <c r="L19" s="3"/>
      <c r="M19" s="160">
        <v>300</v>
      </c>
      <c r="N19" s="378"/>
      <c r="O19" s="379"/>
      <c r="P19" s="380"/>
      <c r="Q19" s="22"/>
      <c r="R19" s="133">
        <f t="shared" si="1"/>
        <v>300</v>
      </c>
      <c r="T19" s="111">
        <f>M18-M19-M20</f>
        <v>1370</v>
      </c>
      <c r="U19" s="7" t="s">
        <v>78</v>
      </c>
      <c r="V19" s="6"/>
      <c r="AA19" s="256">
        <f>100*INT(100*AA17)</f>
        <v>2154000</v>
      </c>
    </row>
    <row r="20" spans="2:27" s="5" customFormat="1" ht="15.45" customHeight="1">
      <c r="B20" s="8"/>
      <c r="C20" s="21" t="s">
        <v>63</v>
      </c>
      <c r="D20" s="21"/>
      <c r="E20" s="371" t="s">
        <v>169</v>
      </c>
      <c r="F20" s="372"/>
      <c r="G20" s="372"/>
      <c r="H20" s="106" t="str">
        <f t="shared" si="0"/>
        <v/>
      </c>
      <c r="I20" s="130" t="s">
        <v>177</v>
      </c>
      <c r="J20" s="21"/>
      <c r="K20" s="21"/>
      <c r="L20" s="9"/>
      <c r="M20" s="160">
        <v>330</v>
      </c>
      <c r="N20" s="381"/>
      <c r="O20" s="382"/>
      <c r="P20" s="383"/>
      <c r="Q20" s="14"/>
      <c r="R20" s="133">
        <f t="shared" si="1"/>
        <v>330</v>
      </c>
      <c r="T20" s="8">
        <f>IF(AND(T19&lt;&gt;M21,(M18+M19+M20)&lt;&gt;0),1,0)</f>
        <v>1</v>
      </c>
      <c r="U20" s="3"/>
      <c r="V20" s="9"/>
      <c r="Y20" s="182" t="s">
        <v>189</v>
      </c>
      <c r="Z20" s="182"/>
      <c r="AA20" s="256">
        <f>AA18-AA19</f>
        <v>45</v>
      </c>
    </row>
    <row r="21" spans="2:27" s="5" customFormat="1" ht="15.45" customHeight="1">
      <c r="B21" s="8"/>
      <c r="C21" s="384" t="s">
        <v>306</v>
      </c>
      <c r="D21" s="385"/>
      <c r="E21" s="368" t="s">
        <v>351</v>
      </c>
      <c r="F21" s="369"/>
      <c r="G21" s="369"/>
      <c r="I21" s="130" t="s">
        <v>178</v>
      </c>
      <c r="J21" s="21"/>
      <c r="K21" s="21"/>
      <c r="L21" s="21"/>
      <c r="M21" s="145">
        <v>1372</v>
      </c>
      <c r="N21" s="365" t="str">
        <f>"FLWL found from LOA, FOH &amp; AOH = "&amp; (M18-M19-M20)</f>
        <v>FLWL found from LOA, FOH &amp; AOH = 1370</v>
      </c>
      <c r="O21" s="366"/>
      <c r="P21" s="367"/>
      <c r="Q21" s="14"/>
      <c r="R21" s="133">
        <f t="shared" si="1"/>
        <v>1372</v>
      </c>
      <c r="T21" s="181" t="str">
        <f>IF(T20=1,"RESOLVE ERROR IN RECORDED LENGTHS","")</f>
        <v>RESOLVE ERROR IN RECORDED LENGTHS</v>
      </c>
      <c r="U21" s="11"/>
      <c r="V21" s="112"/>
      <c r="Y21" s="177"/>
      <c r="Z21" s="178">
        <f>IF(M21&lt;200,1,0)</f>
        <v>0</v>
      </c>
    </row>
    <row r="22" spans="2:27" s="5" customFormat="1" ht="15.45" customHeight="1">
      <c r="B22" s="8"/>
      <c r="C22" s="385"/>
      <c r="D22" s="385"/>
      <c r="E22" s="369"/>
      <c r="F22" s="369"/>
      <c r="G22" s="369"/>
      <c r="H22" s="106" t="str">
        <f>IF(E21=0,"Required","")</f>
        <v/>
      </c>
      <c r="I22" s="130" t="s">
        <v>139</v>
      </c>
      <c r="J22" s="21"/>
      <c r="K22" s="21"/>
      <c r="L22" s="21"/>
      <c r="M22" s="145">
        <v>7</v>
      </c>
      <c r="N22" s="365" t="str">
        <f>IF('bridge bow hollow'!B15&gt;0,"Calculated extension = " &amp; 'bridge bow hollow'!B15,"")</f>
        <v/>
      </c>
      <c r="O22" s="366"/>
      <c r="P22" s="367"/>
      <c r="Q22" s="14"/>
      <c r="R22" s="133">
        <f t="shared" si="1"/>
        <v>7</v>
      </c>
      <c r="T22" s="3"/>
      <c r="U22" s="3"/>
      <c r="V22" s="3"/>
      <c r="Y22" s="179"/>
      <c r="Z22" s="180"/>
    </row>
    <row r="23" spans="2:27" s="5" customFormat="1" ht="15.45" customHeight="1">
      <c r="B23" s="8"/>
      <c r="C23" s="385"/>
      <c r="D23" s="385"/>
      <c r="E23" s="369"/>
      <c r="F23" s="369"/>
      <c r="G23" s="369"/>
      <c r="H23" s="107"/>
      <c r="I23" s="130" t="s">
        <v>140</v>
      </c>
      <c r="J23" s="21"/>
      <c r="K23" s="21"/>
      <c r="L23" s="21"/>
      <c r="M23" s="145">
        <v>0</v>
      </c>
      <c r="N23" s="375" t="str">
        <f>IF('bridge bow hollow'!B12&gt;20,"Error in bridging calcs","")</f>
        <v/>
      </c>
      <c r="O23" s="376"/>
      <c r="P23" s="377"/>
      <c r="Q23" s="14"/>
      <c r="R23" s="133">
        <f t="shared" si="1"/>
        <v>0</v>
      </c>
      <c r="T23" s="3"/>
      <c r="U23" s="3"/>
      <c r="V23" s="3"/>
      <c r="Y23" s="179"/>
      <c r="Z23" s="180"/>
    </row>
    <row r="24" spans="2:27" s="5" customFormat="1" ht="15.45" customHeight="1">
      <c r="B24" s="8"/>
      <c r="C24" s="384" t="s">
        <v>307</v>
      </c>
      <c r="D24" s="385"/>
      <c r="E24" s="368" t="s">
        <v>173</v>
      </c>
      <c r="F24" s="369"/>
      <c r="G24" s="369"/>
      <c r="H24" s="107"/>
      <c r="I24" s="130" t="s">
        <v>141</v>
      </c>
      <c r="J24" s="21"/>
      <c r="K24" s="21"/>
      <c r="L24" s="21"/>
      <c r="M24" s="145">
        <v>0</v>
      </c>
      <c r="N24" s="106"/>
      <c r="O24" s="31"/>
      <c r="P24" s="23"/>
      <c r="Q24" s="14"/>
      <c r="R24" s="133">
        <f t="shared" si="1"/>
        <v>0</v>
      </c>
      <c r="T24" s="3"/>
      <c r="U24" s="3"/>
      <c r="V24" s="3"/>
      <c r="Y24" s="179"/>
      <c r="Z24" s="180"/>
    </row>
    <row r="25" spans="2:27" s="5" customFormat="1" ht="15.45" customHeight="1">
      <c r="B25" s="8"/>
      <c r="C25" s="385"/>
      <c r="D25" s="385"/>
      <c r="E25" s="369"/>
      <c r="F25" s="369"/>
      <c r="G25" s="369"/>
      <c r="H25" s="106" t="str">
        <f>IF(E24=0,"Required","")</f>
        <v/>
      </c>
      <c r="I25" s="130" t="s">
        <v>142</v>
      </c>
      <c r="J25" s="21"/>
      <c r="K25" s="21"/>
      <c r="L25" s="21"/>
      <c r="M25" s="146">
        <f>R25</f>
        <v>1379</v>
      </c>
      <c r="N25" s="106"/>
      <c r="O25" s="31"/>
      <c r="P25" s="23"/>
      <c r="Q25" s="14"/>
      <c r="R25" s="133">
        <f>R21+R22+R23+R24</f>
        <v>1379</v>
      </c>
      <c r="T25" s="3"/>
      <c r="U25" s="3"/>
      <c r="V25" s="3"/>
      <c r="Y25" s="179"/>
      <c r="Z25" s="180">
        <f>IF(M25&lt;200,1,0)</f>
        <v>0</v>
      </c>
    </row>
    <row r="26" spans="2:27" s="5" customFormat="1" ht="15.45" customHeight="1">
      <c r="B26" s="8"/>
      <c r="C26" s="385"/>
      <c r="D26" s="385"/>
      <c r="E26" s="369"/>
      <c r="F26" s="369"/>
      <c r="G26" s="369"/>
      <c r="H26" s="106"/>
      <c r="I26" s="8" t="s">
        <v>179</v>
      </c>
      <c r="J26" s="3"/>
      <c r="K26" s="3"/>
      <c r="L26" s="3"/>
      <c r="M26" s="145">
        <v>1306</v>
      </c>
      <c r="N26" s="106" t="str">
        <f>IF(M26=0,"Required for RATING","")</f>
        <v/>
      </c>
      <c r="O26" s="31"/>
      <c r="P26" s="23"/>
      <c r="Q26" s="14"/>
      <c r="R26" s="133">
        <f>ROUNDUP(M26,0)</f>
        <v>1306</v>
      </c>
      <c r="T26" s="182" t="s">
        <v>80</v>
      </c>
      <c r="U26" s="182"/>
      <c r="V26" s="182"/>
      <c r="Y26" s="179"/>
      <c r="Z26" s="180">
        <f>IF(M26&lt;200,1,0)</f>
        <v>0</v>
      </c>
    </row>
    <row r="27" spans="2:27" s="5" customFormat="1" ht="15.45" customHeight="1">
      <c r="B27" s="8"/>
      <c r="H27" s="106"/>
      <c r="I27" s="10" t="s">
        <v>180</v>
      </c>
      <c r="J27" s="11"/>
      <c r="K27" s="11"/>
      <c r="L27" s="11"/>
      <c r="M27" s="145">
        <v>1305</v>
      </c>
      <c r="N27" s="109" t="str">
        <f>T28</f>
        <v/>
      </c>
      <c r="O27" s="20"/>
      <c r="P27" s="9"/>
      <c r="R27" s="133">
        <f>ROUNDUP(M27,0)</f>
        <v>1305</v>
      </c>
      <c r="T27" s="111">
        <f>M26-M27</f>
        <v>1</v>
      </c>
      <c r="U27" s="7"/>
      <c r="V27" s="6"/>
      <c r="Y27" s="179"/>
      <c r="Z27" s="180">
        <f>IF(M27&lt;200,1,0)</f>
        <v>0</v>
      </c>
    </row>
    <row r="28" spans="2:27" s="5" customFormat="1" ht="15.45" customHeight="1">
      <c r="B28" s="8"/>
      <c r="H28" s="134"/>
      <c r="I28" s="135"/>
      <c r="J28" s="7"/>
      <c r="K28" s="7"/>
      <c r="L28" s="7"/>
      <c r="M28" s="29"/>
      <c r="N28" s="110"/>
      <c r="O28" s="42"/>
      <c r="P28" s="9"/>
      <c r="T28" s="10" t="str">
        <f>IF(T27&gt;25, "ERROR IN QBLS","")</f>
        <v/>
      </c>
      <c r="U28" s="11"/>
      <c r="V28" s="112"/>
      <c r="Y28" s="179"/>
      <c r="Z28" s="180"/>
    </row>
    <row r="29" spans="2:27" s="5" customFormat="1" ht="15.45" customHeight="1">
      <c r="B29" s="8"/>
      <c r="C29" s="3"/>
      <c r="D29" s="3"/>
      <c r="E29" s="3"/>
      <c r="F29" s="3"/>
      <c r="G29" s="3"/>
      <c r="H29" s="3"/>
      <c r="I29" s="10" t="s">
        <v>181</v>
      </c>
      <c r="J29" s="11"/>
      <c r="K29" s="11"/>
      <c r="L29" s="11"/>
      <c r="M29" s="145">
        <v>310</v>
      </c>
      <c r="N29" s="109" t="str">
        <f>IF(M29=0,"Required for RATING","")</f>
        <v/>
      </c>
      <c r="O29" s="20"/>
      <c r="P29" s="9"/>
      <c r="R29" s="133">
        <f>ROUNDUP(M29,0)</f>
        <v>310</v>
      </c>
      <c r="Y29" s="179"/>
      <c r="Z29" s="180">
        <f>IF(M29&lt;50,1,0)</f>
        <v>0</v>
      </c>
    </row>
    <row r="30" spans="2:27" s="5" customFormat="1" ht="15.45" customHeight="1">
      <c r="B30" s="8"/>
      <c r="C30" s="3"/>
      <c r="D30" s="3"/>
      <c r="E30" s="3"/>
      <c r="F30" s="3"/>
      <c r="G30" s="3"/>
      <c r="H30" s="3"/>
      <c r="I30" s="135"/>
      <c r="J30" s="7"/>
      <c r="K30" s="7"/>
      <c r="L30" s="7"/>
      <c r="M30" s="6"/>
      <c r="N30" s="110"/>
      <c r="O30" s="20"/>
      <c r="P30" s="9"/>
      <c r="Y30" s="179"/>
      <c r="Z30" s="180"/>
    </row>
    <row r="31" spans="2:27" s="5" customFormat="1" ht="15.45" customHeight="1">
      <c r="B31" s="8"/>
      <c r="C31" s="3"/>
      <c r="D31" s="3"/>
      <c r="E31" s="3"/>
      <c r="F31" s="3"/>
      <c r="G31" s="3"/>
      <c r="H31" s="3"/>
      <c r="I31" s="8" t="s">
        <v>236</v>
      </c>
      <c r="J31" s="3"/>
      <c r="K31" s="3"/>
      <c r="L31" s="136" t="s">
        <v>18</v>
      </c>
      <c r="M31" s="137" t="s">
        <v>19</v>
      </c>
      <c r="N31" s="110"/>
      <c r="O31" s="20"/>
      <c r="P31" s="9"/>
      <c r="Y31" s="179"/>
      <c r="Z31" s="180"/>
    </row>
    <row r="32" spans="2:27" s="5" customFormat="1" ht="15.45" customHeight="1">
      <c r="B32" s="8"/>
      <c r="C32" s="3"/>
      <c r="D32" s="3"/>
      <c r="E32" s="3"/>
      <c r="F32" s="3"/>
      <c r="G32" s="3"/>
      <c r="H32" s="3"/>
      <c r="I32" s="8"/>
      <c r="J32" s="3"/>
      <c r="K32" s="136" t="s">
        <v>0</v>
      </c>
      <c r="L32" s="145">
        <v>108</v>
      </c>
      <c r="M32" s="145">
        <v>108</v>
      </c>
      <c r="N32" s="106" t="str">
        <f>IF(OR(M32=0,L32=0),"Required for RATING","")</f>
        <v/>
      </c>
      <c r="O32" s="20"/>
      <c r="P32" s="9"/>
      <c r="R32" s="133">
        <f>ROUNDUP(L32,0)</f>
        <v>108</v>
      </c>
      <c r="S32" s="133">
        <f t="shared" ref="R32:S34" si="2">ROUNDUP(M32,0)</f>
        <v>108</v>
      </c>
      <c r="Y32" s="179">
        <f t="shared" ref="Y32:Z34" si="3">IF(L32&lt;7,1,0)</f>
        <v>0</v>
      </c>
      <c r="Z32" s="180">
        <f t="shared" si="3"/>
        <v>0</v>
      </c>
    </row>
    <row r="33" spans="2:26" s="5" customFormat="1" ht="15.45" customHeight="1">
      <c r="B33" s="8"/>
      <c r="C33" s="3"/>
      <c r="D33" s="3"/>
      <c r="E33" s="3"/>
      <c r="F33" s="3"/>
      <c r="G33" s="3"/>
      <c r="H33" s="3"/>
      <c r="I33" s="8"/>
      <c r="J33" s="3"/>
      <c r="K33" s="136" t="s">
        <v>2</v>
      </c>
      <c r="L33" s="145">
        <v>94</v>
      </c>
      <c r="M33" s="145">
        <v>93</v>
      </c>
      <c r="N33" s="106" t="str">
        <f>IF(OR(M33=0,L33=0),"Required for RATING","")</f>
        <v/>
      </c>
      <c r="O33" s="20"/>
      <c r="P33" s="9"/>
      <c r="R33" s="133">
        <f t="shared" si="2"/>
        <v>94</v>
      </c>
      <c r="S33" s="133">
        <f t="shared" si="2"/>
        <v>93</v>
      </c>
      <c r="Y33" s="179">
        <f t="shared" si="3"/>
        <v>0</v>
      </c>
      <c r="Z33" s="180">
        <f t="shared" si="3"/>
        <v>0</v>
      </c>
    </row>
    <row r="34" spans="2:26" s="5" customFormat="1" ht="15.45" customHeight="1">
      <c r="B34" s="8"/>
      <c r="C34" s="3"/>
      <c r="D34" s="3"/>
      <c r="E34" s="3"/>
      <c r="F34" s="3"/>
      <c r="G34" s="3"/>
      <c r="H34" s="3"/>
      <c r="I34" s="10"/>
      <c r="J34" s="11"/>
      <c r="K34" s="138" t="s">
        <v>1</v>
      </c>
      <c r="L34" s="145">
        <v>88</v>
      </c>
      <c r="M34" s="145">
        <v>88</v>
      </c>
      <c r="N34" s="109" t="str">
        <f>IF(OR(M34=0,L34=0),"Required for RATING","")</f>
        <v/>
      </c>
      <c r="O34" s="33" t="s">
        <v>334</v>
      </c>
      <c r="P34" s="9"/>
      <c r="R34" s="133">
        <f t="shared" si="2"/>
        <v>88</v>
      </c>
      <c r="S34" s="133">
        <f t="shared" si="2"/>
        <v>88</v>
      </c>
      <c r="T34" s="290" t="s">
        <v>308</v>
      </c>
      <c r="Y34" s="179">
        <f t="shared" si="3"/>
        <v>0</v>
      </c>
      <c r="Z34" s="180">
        <f t="shared" si="3"/>
        <v>0</v>
      </c>
    </row>
    <row r="35" spans="2:26" s="5" customFormat="1" ht="15.45" customHeight="1">
      <c r="B35" s="8"/>
      <c r="C35" s="3"/>
      <c r="D35" s="3"/>
      <c r="E35" s="3"/>
      <c r="F35" s="3"/>
      <c r="G35" s="3"/>
      <c r="H35" s="3"/>
      <c r="I35" s="135"/>
      <c r="J35" s="7"/>
      <c r="K35" s="7"/>
      <c r="L35" s="7"/>
      <c r="M35" s="29"/>
      <c r="N35" s="110"/>
      <c r="O35" s="33" t="s">
        <v>335</v>
      </c>
      <c r="P35" s="9"/>
      <c r="Y35" s="179"/>
      <c r="Z35" s="180"/>
    </row>
    <row r="36" spans="2:26" s="5" customFormat="1" ht="15.45" customHeight="1">
      <c r="B36" s="8"/>
      <c r="C36" s="3"/>
      <c r="D36" s="3"/>
      <c r="E36" s="3"/>
      <c r="F36" s="3"/>
      <c r="G36" s="3"/>
      <c r="H36" s="3"/>
      <c r="I36" s="12" t="s">
        <v>191</v>
      </c>
      <c r="J36" s="3"/>
      <c r="K36" s="3"/>
      <c r="L36" s="3"/>
      <c r="M36" s="30"/>
      <c r="N36" s="110"/>
      <c r="O36" s="33" t="s">
        <v>336</v>
      </c>
      <c r="P36" s="139"/>
      <c r="T36" s="182" t="s">
        <v>295</v>
      </c>
      <c r="U36" s="182"/>
      <c r="V36" s="182"/>
      <c r="W36" s="182"/>
      <c r="Y36" s="179"/>
      <c r="Z36" s="180"/>
    </row>
    <row r="37" spans="2:26" s="5" customFormat="1" ht="15.45" customHeight="1">
      <c r="B37" s="8"/>
      <c r="C37" s="3"/>
      <c r="D37" s="3"/>
      <c r="E37" s="3"/>
      <c r="F37" s="3"/>
      <c r="G37" s="3"/>
      <c r="H37" s="3"/>
      <c r="I37" s="8" t="s">
        <v>237</v>
      </c>
      <c r="J37" s="3"/>
      <c r="K37" s="3"/>
      <c r="L37" s="3"/>
      <c r="M37" s="145">
        <v>2166</v>
      </c>
      <c r="N37" s="106" t="str">
        <f>IF(M37=0,"Required for RATING","")</f>
        <v/>
      </c>
      <c r="O37" s="140"/>
      <c r="P37" s="9"/>
      <c r="R37" s="133">
        <f t="shared" ref="R37:R43" si="4">ROUNDUP(M37,0)</f>
        <v>2166</v>
      </c>
      <c r="T37" s="290">
        <f>IF(M54="FS",2*R41,"")</f>
        <v>1126</v>
      </c>
      <c r="U37" s="290" t="str">
        <f>IF(M54="FS","Maximum genoa foot","spare")</f>
        <v>Maximum genoa foot</v>
      </c>
      <c r="V37" s="290" t="str">
        <f>IF(M54="FS","Genoa foot length","spare")</f>
        <v>Genoa foot length</v>
      </c>
      <c r="W37" s="290" t="str">
        <f>IF(M54="FS","foot","spare")</f>
        <v>foot</v>
      </c>
      <c r="Y37" s="179"/>
      <c r="Z37" s="180">
        <f>IF(M37&lt;200,1,0)</f>
        <v>0</v>
      </c>
    </row>
    <row r="38" spans="2:26" s="5" customFormat="1" ht="15.45" customHeight="1">
      <c r="B38" s="8"/>
      <c r="C38" s="3"/>
      <c r="D38" s="3"/>
      <c r="E38" s="3"/>
      <c r="F38" s="3"/>
      <c r="G38" s="3"/>
      <c r="H38" s="3"/>
      <c r="I38" s="8" t="s">
        <v>182</v>
      </c>
      <c r="J38" s="3"/>
      <c r="K38" s="3"/>
      <c r="L38" s="3"/>
      <c r="M38" s="145">
        <v>2130</v>
      </c>
      <c r="N38" s="106" t="str">
        <f>IF(M38=0,"Required for RATING","")</f>
        <v/>
      </c>
      <c r="O38" s="33">
        <f>'certificate page 2 - rating'!AD67</f>
        <v>2140</v>
      </c>
      <c r="P38" s="15"/>
      <c r="Q38" s="22"/>
      <c r="R38" s="133">
        <f t="shared" si="4"/>
        <v>2130</v>
      </c>
      <c r="T38" s="296">
        <f>IF(M54="FS",M41+100,"")</f>
        <v>663</v>
      </c>
      <c r="U38" s="290" t="str">
        <f>IF(M54="FS","Spi minimum half width","spare")</f>
        <v>Spi minimum half width</v>
      </c>
      <c r="V38" s="290" t="str">
        <f>IF(M54="FS","Spinnaker half width","spare")</f>
        <v>Spinnaker half width</v>
      </c>
      <c r="W38" s="290" t="str">
        <f>IF(M54="FS","half width","spare")</f>
        <v>half width</v>
      </c>
      <c r="Y38" s="179"/>
      <c r="Z38" s="180">
        <f>IF(M38&lt;190,1,0)</f>
        <v>0</v>
      </c>
    </row>
    <row r="39" spans="2:26" s="5" customFormat="1" ht="15.45" customHeight="1">
      <c r="B39" s="8"/>
      <c r="C39" s="3"/>
      <c r="D39" s="3"/>
      <c r="E39" s="3"/>
      <c r="F39" s="3"/>
      <c r="G39" s="3"/>
      <c r="H39" s="3"/>
      <c r="I39" s="8" t="s">
        <v>183</v>
      </c>
      <c r="J39" s="3"/>
      <c r="K39" s="3"/>
      <c r="L39" s="3"/>
      <c r="M39" s="145">
        <v>402</v>
      </c>
      <c r="N39" s="106" t="str">
        <f>IF(M39=0,"Required for RATING","")</f>
        <v/>
      </c>
      <c r="O39" s="33">
        <f>'certificate page 2 - rating'!AD65</f>
        <v>403</v>
      </c>
      <c r="P39" s="15"/>
      <c r="Q39" s="22"/>
      <c r="R39" s="133">
        <f t="shared" si="4"/>
        <v>402</v>
      </c>
      <c r="T39" s="290">
        <f>IF(M54="FS",(2*R41)+152,"")</f>
        <v>1278</v>
      </c>
      <c r="U39" s="290" t="str">
        <f>IF(M54="FS","Spi max - foot &amp; widths","spare")</f>
        <v>Spi max - foot &amp; widths</v>
      </c>
      <c r="V39" s="290" t="str">
        <f>IF(M54="FS","Spinnaker - foot, quarter, three quarter widths","spare")</f>
        <v>Spinnaker - foot, quarter, three quarter widths</v>
      </c>
      <c r="W39" s="290" t="str">
        <f>IF(M54="FS","foot &amp; widths","spare")</f>
        <v>foot &amp; widths</v>
      </c>
      <c r="Y39" s="179"/>
      <c r="Z39" s="180">
        <f>IF(M39&lt;100,1,0)</f>
        <v>0</v>
      </c>
    </row>
    <row r="40" spans="2:26" s="5" customFormat="1" ht="15.45" customHeight="1">
      <c r="B40" s="8"/>
      <c r="C40" s="3"/>
      <c r="D40" s="3"/>
      <c r="E40" s="3"/>
      <c r="F40" s="3"/>
      <c r="G40" s="3"/>
      <c r="H40" s="108" t="str">
        <f>IF(ISBLANK(M40),"Insert 0 if no HEADSAIL","")</f>
        <v/>
      </c>
      <c r="I40" s="8" t="s">
        <v>238</v>
      </c>
      <c r="J40" s="3"/>
      <c r="K40" s="3"/>
      <c r="L40" s="3"/>
      <c r="M40" s="145">
        <v>1621</v>
      </c>
      <c r="N40" s="106" t="str">
        <f>IF(ISBLANK(M40),"Required for RATING","")</f>
        <v/>
      </c>
      <c r="O40" s="33">
        <f>'certificate page 2 - rating'!AD71</f>
        <v>1629</v>
      </c>
      <c r="P40" s="245"/>
      <c r="R40" s="133">
        <f t="shared" si="4"/>
        <v>1621</v>
      </c>
      <c r="Y40" s="179"/>
      <c r="Z40" s="180">
        <f>IF(M40&lt;150,1,0)</f>
        <v>0</v>
      </c>
    </row>
    <row r="41" spans="2:26" s="5" customFormat="1" ht="15.45" customHeight="1">
      <c r="B41" s="8"/>
      <c r="C41" s="3"/>
      <c r="D41" s="3"/>
      <c r="E41" s="3"/>
      <c r="F41" s="3"/>
      <c r="G41" s="3"/>
      <c r="H41" s="108" t="str">
        <f>IF(ISBLANK(M41),"Insert 0 if no HEADSAIL","")</f>
        <v/>
      </c>
      <c r="I41" s="8" t="s">
        <v>184</v>
      </c>
      <c r="J41" s="3"/>
      <c r="K41" s="3"/>
      <c r="L41" s="3"/>
      <c r="M41" s="145">
        <v>563</v>
      </c>
      <c r="N41" s="106" t="str">
        <f>IF(ISBLANK(M41),"Required for RATING","")</f>
        <v/>
      </c>
      <c r="O41" s="33">
        <f>'certificate page 2 - rating'!AD73</f>
        <v>566</v>
      </c>
      <c r="P41" s="245"/>
      <c r="R41" s="133">
        <f t="shared" si="4"/>
        <v>563</v>
      </c>
      <c r="Y41" s="179"/>
      <c r="Z41" s="180">
        <f>IF(M41&lt;100,1,0)</f>
        <v>0</v>
      </c>
    </row>
    <row r="42" spans="2:26" s="5" customFormat="1" ht="15.45" customHeight="1">
      <c r="B42" s="8"/>
      <c r="C42" s="3"/>
      <c r="D42" s="3"/>
      <c r="E42" s="3"/>
      <c r="F42" s="3"/>
      <c r="G42" s="3"/>
      <c r="H42" s="3"/>
      <c r="I42" s="8" t="s">
        <v>185</v>
      </c>
      <c r="J42" s="3"/>
      <c r="K42" s="3"/>
      <c r="L42" s="3"/>
      <c r="M42" s="145">
        <v>99</v>
      </c>
      <c r="N42" s="106" t="str">
        <f>IF(M42=0,"Required for RATING","")</f>
        <v/>
      </c>
      <c r="O42" s="20"/>
      <c r="P42" s="9"/>
      <c r="R42" s="133">
        <f t="shared" si="4"/>
        <v>99</v>
      </c>
      <c r="Y42" s="8"/>
      <c r="Z42" s="9"/>
    </row>
    <row r="43" spans="2:26" s="5" customFormat="1" ht="15.45" customHeight="1">
      <c r="B43" s="8"/>
      <c r="C43" s="3"/>
      <c r="D43" s="3"/>
      <c r="E43" s="3"/>
      <c r="F43" s="3"/>
      <c r="G43" s="3"/>
      <c r="H43" s="3"/>
      <c r="I43" s="8" t="s">
        <v>231</v>
      </c>
      <c r="J43" s="3"/>
      <c r="K43" s="3"/>
      <c r="L43" s="112"/>
      <c r="M43" s="145"/>
      <c r="N43" s="106"/>
      <c r="O43" s="20"/>
      <c r="P43" s="9"/>
      <c r="R43" s="133">
        <f t="shared" si="4"/>
        <v>0</v>
      </c>
      <c r="Y43" s="8"/>
      <c r="Z43" s="9"/>
    </row>
    <row r="44" spans="2:26" s="5" customFormat="1" ht="15.45" customHeight="1">
      <c r="B44" s="8"/>
      <c r="C44" s="3"/>
      <c r="D44" s="3"/>
      <c r="E44" s="3"/>
      <c r="F44" s="3"/>
      <c r="G44" s="3"/>
      <c r="H44" s="3"/>
      <c r="I44" s="135"/>
      <c r="J44" s="7"/>
      <c r="K44" s="7"/>
      <c r="L44" s="3"/>
      <c r="M44" s="6"/>
      <c r="N44" s="183" t="str">
        <f>IF(Z44&gt;0,"PROBABLE UNITS ERROR","")</f>
        <v/>
      </c>
      <c r="O44" s="32"/>
      <c r="P44" s="9"/>
      <c r="Y44" s="10"/>
      <c r="Z44" s="295">
        <f>SUM(Y21:Z41)</f>
        <v>0</v>
      </c>
    </row>
    <row r="45" spans="2:26" s="5" customFormat="1" ht="15.45" customHeight="1">
      <c r="B45" s="8"/>
      <c r="C45" s="3"/>
      <c r="D45" s="3"/>
      <c r="E45" s="3"/>
      <c r="F45" s="3"/>
      <c r="G45" s="3"/>
      <c r="H45" s="3"/>
      <c r="I45" s="12" t="s">
        <v>192</v>
      </c>
      <c r="J45" s="3"/>
      <c r="K45" s="3"/>
      <c r="L45" s="3"/>
      <c r="M45" s="30"/>
      <c r="N45" s="20"/>
      <c r="O45" s="20"/>
      <c r="P45" s="9"/>
    </row>
    <row r="46" spans="2:26" s="5" customFormat="1" ht="15.45" customHeight="1">
      <c r="B46" s="8"/>
      <c r="C46" s="3"/>
      <c r="D46" s="3"/>
      <c r="E46" s="3"/>
      <c r="F46" s="3"/>
      <c r="G46" s="3"/>
      <c r="H46" s="3"/>
      <c r="I46" s="392" t="s">
        <v>186</v>
      </c>
      <c r="J46" s="393"/>
      <c r="K46" s="393"/>
      <c r="L46" s="393"/>
      <c r="M46" s="146">
        <f>ROUND(R39*0.75+90,0)</f>
        <v>392</v>
      </c>
      <c r="N46" s="399" t="s">
        <v>240</v>
      </c>
      <c r="O46" s="400"/>
      <c r="P46" s="9"/>
      <c r="R46" s="133">
        <f>M46</f>
        <v>392</v>
      </c>
    </row>
    <row r="47" spans="2:26" s="5" customFormat="1" ht="15.45" customHeight="1">
      <c r="B47" s="8"/>
      <c r="C47" s="3"/>
      <c r="D47" s="3"/>
      <c r="E47" s="3"/>
      <c r="F47" s="3"/>
      <c r="G47" s="3"/>
      <c r="H47" s="3"/>
      <c r="I47" s="392" t="s">
        <v>187</v>
      </c>
      <c r="J47" s="393"/>
      <c r="K47" s="393"/>
      <c r="L47" s="393"/>
      <c r="M47" s="146">
        <f>ROUND(R39*0.5+110,0)</f>
        <v>311</v>
      </c>
      <c r="N47" s="401"/>
      <c r="O47" s="402"/>
      <c r="P47" s="9"/>
      <c r="R47" s="133">
        <f>M47</f>
        <v>311</v>
      </c>
    </row>
    <row r="48" spans="2:26" s="5" customFormat="1" ht="15.45" customHeight="1">
      <c r="B48" s="8"/>
      <c r="C48" s="3"/>
      <c r="D48" s="3"/>
      <c r="E48" s="3"/>
      <c r="F48" s="3"/>
      <c r="G48" s="3"/>
      <c r="H48" s="3"/>
      <c r="I48" s="392" t="s">
        <v>188</v>
      </c>
      <c r="J48" s="393"/>
      <c r="K48" s="393"/>
      <c r="L48" s="393"/>
      <c r="M48" s="146">
        <f>ROUND(R39*0.25+105,0)</f>
        <v>206</v>
      </c>
      <c r="N48" s="401"/>
      <c r="O48" s="402"/>
      <c r="P48" s="9"/>
      <c r="R48" s="133">
        <f>M48</f>
        <v>206</v>
      </c>
    </row>
    <row r="49" spans="2:19" s="5" customFormat="1" ht="15.45" customHeight="1">
      <c r="B49" s="8"/>
      <c r="C49" s="3"/>
      <c r="D49" s="3"/>
      <c r="E49" s="3"/>
      <c r="F49" s="3"/>
      <c r="G49" s="3"/>
      <c r="H49" s="3"/>
      <c r="I49" s="396" t="s">
        <v>81</v>
      </c>
      <c r="J49" s="397"/>
      <c r="K49" s="397"/>
      <c r="L49" s="398"/>
      <c r="M49" s="146">
        <f>ROUND(R41/2+50,0)</f>
        <v>332</v>
      </c>
      <c r="N49" s="403"/>
      <c r="O49" s="404"/>
      <c r="P49" s="9"/>
      <c r="R49" s="133">
        <f>M49</f>
        <v>332</v>
      </c>
    </row>
    <row r="50" spans="2:19" s="5" customFormat="1" ht="15.45" customHeight="1">
      <c r="B50" s="8"/>
      <c r="I50" s="222" t="s">
        <v>235</v>
      </c>
      <c r="N50" s="141"/>
      <c r="O50" s="141"/>
      <c r="P50" s="9"/>
      <c r="Q50" s="8"/>
      <c r="R50" s="133">
        <f>ROUNDUP(M50,0)</f>
        <v>0</v>
      </c>
    </row>
    <row r="51" spans="2:19" s="5" customFormat="1" ht="15.45" customHeight="1">
      <c r="B51" s="8"/>
      <c r="I51" s="222" t="s">
        <v>338</v>
      </c>
      <c r="N51" s="141"/>
      <c r="O51" s="141"/>
      <c r="P51" s="9"/>
      <c r="Q51" s="8"/>
      <c r="R51" s="133">
        <f>ROUNDUP(M51,0)</f>
        <v>0</v>
      </c>
    </row>
    <row r="52" spans="2:19" s="5" customFormat="1" ht="48.75" customHeight="1">
      <c r="B52" s="8"/>
      <c r="N52" s="141"/>
      <c r="O52" s="141"/>
      <c r="P52" s="9"/>
      <c r="Q52" s="8"/>
      <c r="R52" s="133">
        <f>ROUNDUP(M52,0)</f>
        <v>0</v>
      </c>
    </row>
    <row r="53" spans="2:19" s="5" customFormat="1" ht="21">
      <c r="B53" s="8"/>
      <c r="J53" s="391" t="str">
        <f>IF(COUNT(M16,M21:M27,M29,L32:L34,M32:M34,M37:M42)=21,"With complete data, RATING =","With Incomplete Data, RATING =")</f>
        <v>With complete data, RATING =</v>
      </c>
      <c r="K53" s="391"/>
      <c r="L53" s="391"/>
      <c r="M53" s="391"/>
      <c r="N53" s="391"/>
      <c r="O53" s="28">
        <f>'certificate page 2 - rating'!X50</f>
        <v>999</v>
      </c>
      <c r="P53" s="9"/>
      <c r="Q53" s="8"/>
    </row>
    <row r="54" spans="2:19" s="5" customFormat="1" ht="13.2">
      <c r="B54" s="8"/>
      <c r="D54" s="142"/>
      <c r="E54" s="143"/>
      <c r="F54" s="132"/>
      <c r="G54" s="132"/>
      <c r="H54" s="132"/>
      <c r="I54" s="298" t="s">
        <v>309</v>
      </c>
      <c r="J54" s="299"/>
      <c r="K54" s="299"/>
      <c r="L54" s="300"/>
      <c r="M54" s="301" t="s">
        <v>339</v>
      </c>
      <c r="N54" s="340" t="s">
        <v>337</v>
      </c>
      <c r="O54" s="344">
        <f>'certificate page 2 - rating'!X47+'certificate page 2 - rating'!X13</f>
        <v>999</v>
      </c>
      <c r="P54" s="17"/>
      <c r="Q54" s="103"/>
      <c r="R54" s="19"/>
    </row>
    <row r="55" spans="2:19" s="5" customFormat="1" ht="13.2">
      <c r="B55" s="10"/>
      <c r="C55" s="144" t="s">
        <v>245</v>
      </c>
      <c r="D55" s="11"/>
      <c r="E55" s="11"/>
      <c r="F55" s="11"/>
      <c r="G55" s="82"/>
      <c r="H55" s="82"/>
      <c r="I55" s="18" t="str">
        <f>'status of document'!B5</f>
        <v>Effective 1st April 2018</v>
      </c>
      <c r="J55" s="11"/>
      <c r="K55" s="11"/>
      <c r="L55" s="11"/>
      <c r="M55" s="359" t="str">
        <f>'status of document'!B2</f>
        <v>FS and RC release version 1</v>
      </c>
      <c r="N55" s="394" t="str">
        <f>'status of document'!B7</f>
        <v>© 2018, IRSA</v>
      </c>
      <c r="O55" s="394"/>
      <c r="P55" s="395"/>
      <c r="Q55" s="103"/>
      <c r="R55" s="16"/>
      <c r="S55" s="3"/>
    </row>
    <row r="56" spans="2:19" s="5" customFormat="1" ht="13.2">
      <c r="M56" s="19"/>
      <c r="N56" s="19"/>
      <c r="O56" s="19"/>
      <c r="P56" s="19"/>
      <c r="Q56" s="19"/>
      <c r="R56" s="19"/>
    </row>
    <row r="57" spans="2:19" s="89" customFormat="1" ht="19.95" customHeight="1">
      <c r="B57" s="118"/>
      <c r="C57" s="390"/>
      <c r="D57" s="390"/>
      <c r="E57" s="390"/>
      <c r="F57" s="77"/>
      <c r="G57" s="77"/>
      <c r="H57" s="77"/>
      <c r="O57" s="78"/>
    </row>
    <row r="58" spans="2:19" s="5" customFormat="1" ht="13.2"/>
    <row r="59" spans="2:19" s="5" customFormat="1" ht="13.2"/>
    <row r="60" spans="2:19" s="5" customFormat="1" ht="13.2"/>
    <row r="61" spans="2:19" s="5" customFormat="1" ht="13.2">
      <c r="I61" s="104"/>
    </row>
    <row r="62" spans="2:19" s="5" customFormat="1" ht="13.2"/>
    <row r="63" spans="2:19" s="5" customFormat="1" ht="13.2"/>
    <row r="64" spans="2:19" s="5" customFormat="1" ht="13.2"/>
    <row r="65" s="5" customFormat="1" ht="13.2"/>
    <row r="66" s="5" customFormat="1" ht="13.2"/>
    <row r="67" s="5" customFormat="1" ht="13.2"/>
    <row r="68" s="5" customFormat="1" ht="13.2"/>
    <row r="69" s="5" customFormat="1" ht="13.2"/>
    <row r="70" s="5" customFormat="1" ht="13.2"/>
    <row r="71" s="5" customFormat="1" ht="13.2"/>
    <row r="72" s="5" customFormat="1" ht="13.2"/>
    <row r="73" s="5" customFormat="1" ht="13.2"/>
    <row r="74" s="5" customFormat="1" ht="13.2"/>
    <row r="75" s="5" customFormat="1" ht="13.2"/>
    <row r="76" s="5" customFormat="1" ht="13.2"/>
    <row r="77" s="5" customFormat="1" ht="13.2"/>
    <row r="78" s="5" customFormat="1" ht="13.2"/>
    <row r="79" s="5" customFormat="1" ht="13.2"/>
    <row r="80" s="5" customFormat="1" ht="13.2"/>
  </sheetData>
  <sheetProtection algorithmName="SHA-512" hashValue="MAUSwGCwYHFW5DzNZddPzS3M10rpdINR9/SniXsFI4YY9YNLQsmIDZQNmaOhDdgxw6pRDlTTAqEDfCZ16Gx1MQ==" saltValue="HfnKqDr0bTXfdR/ZqBMhQQ==" spinCount="100000" sheet="1" objects="1" scenarios="1" selectLockedCells="1"/>
  <mergeCells count="27">
    <mergeCell ref="C57:E57"/>
    <mergeCell ref="J53:N53"/>
    <mergeCell ref="I46:L46"/>
    <mergeCell ref="I47:L47"/>
    <mergeCell ref="I48:L48"/>
    <mergeCell ref="N55:P55"/>
    <mergeCell ref="I49:L49"/>
    <mergeCell ref="N46:O49"/>
    <mergeCell ref="C24:D26"/>
    <mergeCell ref="E24:G26"/>
    <mergeCell ref="C8:P8"/>
    <mergeCell ref="C9:P9"/>
    <mergeCell ref="C11:P11"/>
    <mergeCell ref="C10:P10"/>
    <mergeCell ref="N21:P21"/>
    <mergeCell ref="E18:G18"/>
    <mergeCell ref="E19:G19"/>
    <mergeCell ref="C21:D23"/>
    <mergeCell ref="N22:P22"/>
    <mergeCell ref="E21:G23"/>
    <mergeCell ref="C13:O13"/>
    <mergeCell ref="E17:G17"/>
    <mergeCell ref="E20:G20"/>
    <mergeCell ref="E15:G15"/>
    <mergeCell ref="E16:G16"/>
    <mergeCell ref="N23:P23"/>
    <mergeCell ref="N18:P20"/>
  </mergeCells>
  <phoneticPr fontId="0" type="noConversion"/>
  <conditionalFormatting sqref="J53:N53">
    <cfRule type="expression" dxfId="3" priority="2" stopIfTrue="1">
      <formula>$O$53&gt;1000</formula>
    </cfRule>
    <cfRule type="cellIs" dxfId="2" priority="3" stopIfTrue="1" operator="equal">
      <formula>"With Incomplete Data, RATING ="</formula>
    </cfRule>
  </conditionalFormatting>
  <conditionalFormatting sqref="O53">
    <cfRule type="expression" dxfId="1" priority="4" stopIfTrue="1">
      <formula>$O$53&gt;1000</formula>
    </cfRule>
    <cfRule type="expression" dxfId="0" priority="5" stopIfTrue="1">
      <formula xml:space="preserve"> $J$53="With Incomplete Data, RATING ="</formula>
    </cfRule>
  </conditionalFormatting>
  <dataValidations xWindow="875" yWindow="457" count="2">
    <dataValidation type="decimal" allowBlank="1" showInputMessage="1" showErrorMessage="1" errorTitle="NOT PERMITTED!" error="Value must be between 0 and 2167" sqref="M37">
      <formula1>0</formula1>
      <formula2>2167.49999</formula2>
    </dataValidation>
    <dataValidation type="decimal" allowBlank="1" showInputMessage="1" showErrorMessage="1" errorTitle="NOT PERMITTED!" error="Value must be between 0 and 1625" sqref="M40">
      <formula1>0</formula1>
      <formula2>1625.499999</formula2>
    </dataValidation>
  </dataValidations>
  <printOptions horizontalCentered="1" verticalCentered="1"/>
  <pageMargins left="0.59055118110236227" right="0.59055118110236227" top="0.98425196850393704" bottom="0.98425196850393704" header="0" footer="0"/>
  <pageSetup paperSize="9" scale="54" fitToHeight="2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3"/>
  <sheetViews>
    <sheetView topLeftCell="A17" zoomScale="50" zoomScaleNormal="75" workbookViewId="0">
      <selection activeCell="D41" sqref="D41:G41"/>
    </sheetView>
  </sheetViews>
  <sheetFormatPr baseColWidth="10" defaultColWidth="9" defaultRowHeight="15"/>
  <cols>
    <col min="1" max="1" width="11.19921875" style="118" customWidth="1"/>
    <col min="2" max="2" width="10.69921875" style="89" customWidth="1"/>
    <col min="3" max="3" width="55.59765625" style="89" customWidth="1"/>
    <col min="4" max="6" width="15.59765625" style="89" customWidth="1"/>
    <col min="7" max="7" width="17.3984375" style="89" customWidth="1"/>
    <col min="8" max="8" width="4.59765625" style="89" customWidth="1"/>
    <col min="9" max="9" width="15.59765625" style="89" customWidth="1"/>
    <col min="10" max="10" width="29.8984375" style="89" customWidth="1"/>
    <col min="11" max="16384" width="9" style="89"/>
  </cols>
  <sheetData>
    <row r="1" spans="1:17" ht="32.25" customHeight="1"/>
    <row r="2" spans="1:17" s="226" customFormat="1" ht="48.75" customHeight="1">
      <c r="B2" s="246" t="s">
        <v>232</v>
      </c>
      <c r="J2" s="227"/>
    </row>
    <row r="3" spans="1:17" s="226" customFormat="1" ht="40.5" customHeight="1">
      <c r="B3" s="247" t="s">
        <v>345</v>
      </c>
      <c r="C3" s="229"/>
      <c r="D3" s="229"/>
      <c r="E3" s="229"/>
      <c r="F3" s="229"/>
      <c r="G3" s="229"/>
      <c r="H3" s="448"/>
      <c r="I3" s="361"/>
      <c r="J3" s="361"/>
      <c r="K3" s="229"/>
      <c r="L3" s="229"/>
      <c r="M3" s="229"/>
      <c r="N3" s="229"/>
      <c r="O3" s="229"/>
      <c r="P3" s="229"/>
      <c r="Q3" s="229"/>
    </row>
    <row r="4" spans="1:17" ht="22.5" customHeight="1">
      <c r="B4" s="476" t="str">
        <f>'status of document'!B2</f>
        <v>FS and RC release version 1</v>
      </c>
      <c r="C4" s="476"/>
      <c r="D4" s="476"/>
      <c r="E4" s="476"/>
      <c r="F4" s="476"/>
      <c r="G4" s="476"/>
      <c r="H4" s="418"/>
      <c r="I4" s="418"/>
      <c r="J4" s="418"/>
    </row>
    <row r="5" spans="1:17" ht="24" customHeight="1">
      <c r="A5" s="119"/>
      <c r="B5" s="248"/>
      <c r="C5" s="249"/>
      <c r="D5" s="250"/>
      <c r="E5" s="190" t="s">
        <v>196</v>
      </c>
      <c r="F5" s="190" t="s">
        <v>149</v>
      </c>
      <c r="G5" s="191" t="s">
        <v>150</v>
      </c>
      <c r="H5" s="453" t="s">
        <v>87</v>
      </c>
      <c r="I5" s="454"/>
      <c r="J5" s="455"/>
    </row>
    <row r="6" spans="1:17" ht="24" customHeight="1">
      <c r="A6" s="119"/>
      <c r="B6" s="432" t="s">
        <v>163</v>
      </c>
      <c r="C6" s="433"/>
      <c r="D6" s="214" t="s">
        <v>17</v>
      </c>
      <c r="E6" s="186">
        <f>'certificate page 2 - rating'!O16</f>
        <v>2166</v>
      </c>
      <c r="F6" s="186">
        <v>0</v>
      </c>
      <c r="G6" s="186">
        <f>E6</f>
        <v>2166</v>
      </c>
      <c r="H6" s="456" t="s">
        <v>120</v>
      </c>
      <c r="I6" s="460" t="s">
        <v>158</v>
      </c>
      <c r="J6" s="461"/>
    </row>
    <row r="7" spans="1:17" s="251" customFormat="1" ht="24" customHeight="1">
      <c r="A7" s="121"/>
      <c r="B7" s="407" t="s">
        <v>164</v>
      </c>
      <c r="C7" s="408"/>
      <c r="D7" s="122" t="s">
        <v>26</v>
      </c>
      <c r="E7" s="123">
        <f>'certificate page 2 - rating'!O17</f>
        <v>2130</v>
      </c>
      <c r="F7" s="123">
        <v>0</v>
      </c>
      <c r="G7" s="123">
        <f t="shared" ref="G7:G14" si="0">E7</f>
        <v>2130</v>
      </c>
      <c r="H7" s="457"/>
      <c r="I7" s="462"/>
      <c r="J7" s="463"/>
    </row>
    <row r="8" spans="1:17" ht="24" customHeight="1">
      <c r="A8" s="119"/>
      <c r="B8" s="407" t="s">
        <v>135</v>
      </c>
      <c r="C8" s="408"/>
      <c r="D8" s="122" t="s">
        <v>45</v>
      </c>
      <c r="E8" s="123">
        <f>'certificate page 2 - rating'!O23</f>
        <v>206</v>
      </c>
      <c r="F8" s="123">
        <v>0</v>
      </c>
      <c r="G8" s="123">
        <f t="shared" si="0"/>
        <v>206</v>
      </c>
      <c r="H8" s="457"/>
      <c r="I8" s="462"/>
      <c r="J8" s="463"/>
    </row>
    <row r="9" spans="1:17" ht="24" customHeight="1">
      <c r="A9" s="119"/>
      <c r="B9" s="407" t="s">
        <v>136</v>
      </c>
      <c r="C9" s="408"/>
      <c r="D9" s="122" t="s">
        <v>44</v>
      </c>
      <c r="E9" s="123">
        <f>'certificate page 2 - rating'!O25</f>
        <v>311</v>
      </c>
      <c r="F9" s="123">
        <v>0</v>
      </c>
      <c r="G9" s="123">
        <f t="shared" si="0"/>
        <v>311</v>
      </c>
      <c r="H9" s="457"/>
      <c r="I9" s="462"/>
      <c r="J9" s="463"/>
    </row>
    <row r="10" spans="1:17" ht="24" customHeight="1">
      <c r="A10" s="119"/>
      <c r="B10" s="407" t="s">
        <v>137</v>
      </c>
      <c r="C10" s="408"/>
      <c r="D10" s="122" t="s">
        <v>43</v>
      </c>
      <c r="E10" s="123">
        <f>'certificate page 2 - rating'!O27</f>
        <v>392</v>
      </c>
      <c r="F10" s="123">
        <v>0</v>
      </c>
      <c r="G10" s="123">
        <f t="shared" si="0"/>
        <v>392</v>
      </c>
      <c r="H10" s="457"/>
      <c r="I10" s="464"/>
      <c r="J10" s="465"/>
    </row>
    <row r="11" spans="1:17" ht="24" customHeight="1">
      <c r="A11" s="119"/>
      <c r="B11" s="407" t="s">
        <v>134</v>
      </c>
      <c r="C11" s="408"/>
      <c r="D11" s="252" t="s">
        <v>25</v>
      </c>
      <c r="E11" s="253">
        <f>'certificate page 2 - rating'!O29</f>
        <v>402</v>
      </c>
      <c r="F11" s="123">
        <v>0</v>
      </c>
      <c r="G11" s="123">
        <f t="shared" si="0"/>
        <v>402</v>
      </c>
      <c r="H11" s="466" t="s">
        <v>132</v>
      </c>
      <c r="I11" s="409" t="s">
        <v>277</v>
      </c>
      <c r="J11" s="410"/>
    </row>
    <row r="12" spans="1:17" ht="24" customHeight="1">
      <c r="A12" s="119"/>
      <c r="B12" s="407" t="s">
        <v>165</v>
      </c>
      <c r="C12" s="408"/>
      <c r="D12" s="162" t="s">
        <v>72</v>
      </c>
      <c r="E12" s="123">
        <f>'certificate page 2 - rating'!T18</f>
        <v>1621</v>
      </c>
      <c r="F12" s="123">
        <v>0</v>
      </c>
      <c r="G12" s="123">
        <f t="shared" si="0"/>
        <v>1621</v>
      </c>
      <c r="H12" s="467"/>
      <c r="I12" s="411"/>
      <c r="J12" s="412"/>
    </row>
    <row r="13" spans="1:17" ht="24" customHeight="1">
      <c r="A13" s="119"/>
      <c r="B13" s="407" t="s">
        <v>166</v>
      </c>
      <c r="C13" s="408"/>
      <c r="D13" s="122" t="s">
        <v>73</v>
      </c>
      <c r="E13" s="123">
        <f>'certificate page 2 - rating'!T32</f>
        <v>563</v>
      </c>
      <c r="F13" s="123">
        <v>0</v>
      </c>
      <c r="G13" s="123">
        <f t="shared" si="0"/>
        <v>563</v>
      </c>
      <c r="H13" s="467"/>
      <c r="I13" s="411"/>
      <c r="J13" s="412"/>
    </row>
    <row r="14" spans="1:17" ht="24" customHeight="1">
      <c r="A14" s="119"/>
      <c r="B14" s="407" t="s">
        <v>88</v>
      </c>
      <c r="C14" s="408"/>
      <c r="D14" s="122" t="s">
        <v>44</v>
      </c>
      <c r="E14" s="123">
        <f>'certificate page 2 - rating'!T22</f>
        <v>332</v>
      </c>
      <c r="F14" s="123">
        <v>0</v>
      </c>
      <c r="G14" s="123">
        <f t="shared" si="0"/>
        <v>332</v>
      </c>
      <c r="H14" s="467"/>
      <c r="I14" s="411"/>
      <c r="J14" s="412"/>
    </row>
    <row r="15" spans="1:17" ht="24" customHeight="1">
      <c r="A15" s="119"/>
      <c r="B15" s="405" t="str">
        <f>'data input for certificate'!V37</f>
        <v>Genoa foot length</v>
      </c>
      <c r="C15" s="406"/>
      <c r="D15" s="288" t="str">
        <f>'data input for certificate'!W37</f>
        <v>foot</v>
      </c>
      <c r="E15" s="289">
        <f>'certificate page 2 - rating'!T24</f>
        <v>1126</v>
      </c>
      <c r="F15" s="289">
        <f>IF(D15="spare","",0)</f>
        <v>0</v>
      </c>
      <c r="G15" s="289">
        <f>E15</f>
        <v>1126</v>
      </c>
      <c r="H15" s="467"/>
      <c r="I15" s="411"/>
      <c r="J15" s="412"/>
    </row>
    <row r="16" spans="1:17" ht="24" customHeight="1">
      <c r="A16" s="119"/>
      <c r="B16" s="405" t="str">
        <f>'data input for certificate'!V38</f>
        <v>Spinnaker half width</v>
      </c>
      <c r="C16" s="406"/>
      <c r="D16" s="288" t="str">
        <f>'data input for certificate'!W38</f>
        <v>half width</v>
      </c>
      <c r="E16" s="289">
        <f>'certificate page 2 - rating'!T28</f>
        <v>1278</v>
      </c>
      <c r="F16" s="289">
        <f>'certificate page 2 - rating'!T26</f>
        <v>663</v>
      </c>
      <c r="G16" s="289">
        <f>E16</f>
        <v>1278</v>
      </c>
      <c r="H16" s="467"/>
      <c r="I16" s="411"/>
      <c r="J16" s="412"/>
    </row>
    <row r="17" spans="1:10" ht="24" customHeight="1">
      <c r="A17" s="119"/>
      <c r="B17" s="405" t="str">
        <f>'data input for certificate'!V39</f>
        <v>Spinnaker - foot, quarter, three quarter widths</v>
      </c>
      <c r="C17" s="406"/>
      <c r="D17" s="288" t="str">
        <f>'data input for certificate'!W39</f>
        <v>foot &amp; widths</v>
      </c>
      <c r="E17" s="289">
        <f>'certificate page 2 - rating'!T28</f>
        <v>1278</v>
      </c>
      <c r="F17" s="289">
        <f>IF(D17="spare","",0)</f>
        <v>0</v>
      </c>
      <c r="G17" s="289">
        <f>E17</f>
        <v>1278</v>
      </c>
      <c r="H17" s="467"/>
      <c r="I17" s="411"/>
      <c r="J17" s="412"/>
    </row>
    <row r="18" spans="1:10" ht="24" customHeight="1">
      <c r="A18" s="119"/>
      <c r="B18" s="407" t="s">
        <v>167</v>
      </c>
      <c r="C18" s="408"/>
      <c r="D18" s="122" t="s">
        <v>24</v>
      </c>
      <c r="E18" s="123">
        <f>'data input for certificate'!R42</f>
        <v>99</v>
      </c>
      <c r="F18" s="123">
        <f>E18-1</f>
        <v>98</v>
      </c>
      <c r="G18" s="123">
        <f>E18+1</f>
        <v>100</v>
      </c>
      <c r="H18" s="467"/>
      <c r="I18" s="411"/>
      <c r="J18" s="412"/>
    </row>
    <row r="19" spans="1:10" ht="24" customHeight="1">
      <c r="A19" s="119"/>
      <c r="B19" s="407" t="s">
        <v>255</v>
      </c>
      <c r="C19" s="408"/>
      <c r="D19" s="122" t="s">
        <v>230</v>
      </c>
      <c r="E19" s="123">
        <f>'data input for certificate'!R43</f>
        <v>0</v>
      </c>
      <c r="F19" s="123">
        <f>E19-1</f>
        <v>-1</v>
      </c>
      <c r="G19" s="123">
        <f>E19+1</f>
        <v>1</v>
      </c>
      <c r="H19" s="468"/>
      <c r="I19" s="413"/>
      <c r="J19" s="414"/>
    </row>
    <row r="20" spans="1:10" ht="24" customHeight="1">
      <c r="A20" s="119"/>
      <c r="B20" s="407" t="s">
        <v>205</v>
      </c>
      <c r="C20" s="408"/>
      <c r="D20" s="213" t="s">
        <v>17</v>
      </c>
      <c r="E20" s="123" t="s">
        <v>17</v>
      </c>
      <c r="F20" s="123">
        <v>-13</v>
      </c>
      <c r="G20" s="253">
        <v>13</v>
      </c>
      <c r="H20" s="415" t="s">
        <v>133</v>
      </c>
      <c r="I20" s="409" t="s">
        <v>278</v>
      </c>
      <c r="J20" s="410"/>
    </row>
    <row r="21" spans="1:10" ht="24" customHeight="1">
      <c r="A21" s="119"/>
      <c r="B21" s="407" t="s">
        <v>138</v>
      </c>
      <c r="C21" s="408"/>
      <c r="D21" s="123" t="s">
        <v>17</v>
      </c>
      <c r="E21" s="120">
        <f>'data input for certificate'!R16</f>
        <v>18.399999999999999</v>
      </c>
      <c r="F21" s="163">
        <f>E21-0.1</f>
        <v>18.299999999999997</v>
      </c>
      <c r="G21" s="163">
        <f>E21+0.1</f>
        <v>18.5</v>
      </c>
      <c r="H21" s="416"/>
      <c r="I21" s="411"/>
      <c r="J21" s="412"/>
    </row>
    <row r="22" spans="1:10" ht="24" customHeight="1">
      <c r="A22" s="119"/>
      <c r="B22" s="407" t="s">
        <v>144</v>
      </c>
      <c r="C22" s="408"/>
      <c r="D22" s="122" t="s">
        <v>145</v>
      </c>
      <c r="E22" s="123">
        <f>'data input for certificate'!R21</f>
        <v>1372</v>
      </c>
      <c r="F22" s="123">
        <f>E22-3</f>
        <v>1369</v>
      </c>
      <c r="G22" s="123">
        <f>E22+3</f>
        <v>1375</v>
      </c>
      <c r="H22" s="416"/>
      <c r="I22" s="411"/>
      <c r="J22" s="412"/>
    </row>
    <row r="23" spans="1:10" ht="24" customHeight="1">
      <c r="A23" s="119"/>
      <c r="B23" s="407" t="s">
        <v>146</v>
      </c>
      <c r="C23" s="408"/>
      <c r="D23" s="122" t="s">
        <v>147</v>
      </c>
      <c r="E23" s="123">
        <f>'data input for certificate'!R25</f>
        <v>1379</v>
      </c>
      <c r="F23" s="123">
        <f>E23-3</f>
        <v>1376</v>
      </c>
      <c r="G23" s="123">
        <f>E23+3</f>
        <v>1382</v>
      </c>
      <c r="H23" s="416"/>
      <c r="I23" s="411"/>
      <c r="J23" s="412"/>
    </row>
    <row r="24" spans="1:10" ht="24" customHeight="1">
      <c r="A24" s="119"/>
      <c r="B24" s="407" t="s">
        <v>193</v>
      </c>
      <c r="C24" s="408"/>
      <c r="D24" s="122" t="s">
        <v>17</v>
      </c>
      <c r="E24" s="123">
        <f>'certificate page 2 - rating'!V10</f>
        <v>310</v>
      </c>
      <c r="F24" s="123">
        <v>0</v>
      </c>
      <c r="G24" s="123">
        <f>E24+2</f>
        <v>312</v>
      </c>
      <c r="H24" s="416"/>
      <c r="I24" s="411"/>
      <c r="J24" s="412"/>
    </row>
    <row r="25" spans="1:10" ht="24" customHeight="1">
      <c r="A25" s="119"/>
      <c r="B25" s="417" t="s">
        <v>194</v>
      </c>
      <c r="C25" s="418"/>
      <c r="D25" s="187" t="s">
        <v>148</v>
      </c>
      <c r="E25" s="188">
        <f>'certificate page 2 - rating'!V6</f>
        <v>97</v>
      </c>
      <c r="F25" s="188">
        <f>E25-2</f>
        <v>95</v>
      </c>
      <c r="G25" s="189" t="s">
        <v>151</v>
      </c>
      <c r="H25" s="416"/>
      <c r="I25" s="413"/>
      <c r="J25" s="414"/>
    </row>
    <row r="26" spans="1:10" ht="24.9" customHeight="1">
      <c r="A26" s="119"/>
      <c r="B26" s="432" t="s">
        <v>157</v>
      </c>
      <c r="C26" s="433"/>
      <c r="D26" s="185" t="s">
        <v>157</v>
      </c>
      <c r="E26" s="186">
        <f>'certificate page 2 - rating'!I12</f>
        <v>1306</v>
      </c>
      <c r="F26" s="186">
        <v>0</v>
      </c>
      <c r="G26" s="186">
        <f>E26+5</f>
        <v>1311</v>
      </c>
      <c r="H26" s="434" t="s">
        <v>152</v>
      </c>
      <c r="I26" s="423" t="s">
        <v>279</v>
      </c>
      <c r="J26" s="410"/>
    </row>
    <row r="27" spans="1:10" ht="24.9" customHeight="1">
      <c r="A27" s="119"/>
      <c r="B27" s="407" t="s">
        <v>153</v>
      </c>
      <c r="C27" s="408"/>
      <c r="D27" s="213" t="s">
        <v>17</v>
      </c>
      <c r="E27" s="123">
        <f>E24</f>
        <v>310</v>
      </c>
      <c r="F27" s="123">
        <v>0</v>
      </c>
      <c r="G27" s="123">
        <f>E27+1</f>
        <v>311</v>
      </c>
      <c r="H27" s="435"/>
      <c r="I27" s="424"/>
      <c r="J27" s="412"/>
    </row>
    <row r="28" spans="1:10" ht="24.9" customHeight="1">
      <c r="A28" s="119"/>
      <c r="B28" s="407" t="s">
        <v>154</v>
      </c>
      <c r="C28" s="408"/>
      <c r="D28" s="122" t="s">
        <v>155</v>
      </c>
      <c r="E28" s="123">
        <f>E25</f>
        <v>97</v>
      </c>
      <c r="F28" s="123">
        <f>E28-1</f>
        <v>96</v>
      </c>
      <c r="G28" s="150" t="s">
        <v>151</v>
      </c>
      <c r="H28" s="435"/>
      <c r="I28" s="424"/>
      <c r="J28" s="412"/>
    </row>
    <row r="29" spans="1:10" ht="24.9" customHeight="1">
      <c r="A29" s="119"/>
      <c r="B29" s="417" t="s">
        <v>195</v>
      </c>
      <c r="C29" s="418"/>
      <c r="D29" s="187" t="s">
        <v>156</v>
      </c>
      <c r="E29" s="188" t="s">
        <v>17</v>
      </c>
      <c r="F29" s="188">
        <v>0</v>
      </c>
      <c r="G29" s="188">
        <v>1005</v>
      </c>
      <c r="H29" s="436"/>
      <c r="I29" s="425"/>
      <c r="J29" s="414"/>
    </row>
    <row r="30" spans="1:10" ht="24" customHeight="1">
      <c r="B30" s="420" t="s">
        <v>89</v>
      </c>
      <c r="C30" s="421"/>
      <c r="D30" s="422"/>
      <c r="E30" s="422"/>
      <c r="F30" s="422"/>
      <c r="G30" s="422"/>
      <c r="H30" s="422"/>
      <c r="I30" s="422"/>
      <c r="J30" s="422"/>
    </row>
    <row r="31" spans="1:10" ht="24" customHeight="1">
      <c r="B31" s="426" t="s">
        <v>159</v>
      </c>
      <c r="C31" s="427"/>
      <c r="D31" s="427"/>
      <c r="E31" s="427"/>
      <c r="F31" s="427"/>
      <c r="G31" s="427"/>
      <c r="H31" s="427"/>
      <c r="I31" s="428"/>
      <c r="J31" s="428"/>
    </row>
    <row r="32" spans="1:10" ht="24" customHeight="1">
      <c r="B32" s="429" t="s">
        <v>84</v>
      </c>
      <c r="C32" s="430"/>
      <c r="D32" s="430"/>
      <c r="E32" s="430"/>
      <c r="F32" s="430"/>
      <c r="G32" s="430"/>
      <c r="H32" s="428"/>
      <c r="I32" s="428"/>
      <c r="J32" s="428"/>
    </row>
    <row r="33" spans="2:10" ht="24" customHeight="1">
      <c r="B33" s="431" t="s">
        <v>160</v>
      </c>
      <c r="C33" s="430"/>
      <c r="D33" s="430"/>
      <c r="E33" s="430"/>
      <c r="F33" s="430"/>
      <c r="G33" s="430"/>
      <c r="H33" s="430"/>
      <c r="I33" s="428"/>
      <c r="J33" s="428"/>
    </row>
    <row r="34" spans="2:10" ht="42" customHeight="1">
      <c r="B34" s="473" t="s">
        <v>61</v>
      </c>
      <c r="C34" s="475"/>
      <c r="D34" s="474">
        <f>'data input for certificate'!E15</f>
        <v>1183</v>
      </c>
      <c r="E34" s="474"/>
      <c r="F34" s="474"/>
      <c r="G34" s="474"/>
      <c r="H34" s="81"/>
      <c r="I34" s="449" t="s">
        <v>74</v>
      </c>
      <c r="J34" s="450"/>
    </row>
    <row r="35" spans="2:10" ht="42" customHeight="1">
      <c r="B35" s="473" t="s">
        <v>62</v>
      </c>
      <c r="C35" s="473"/>
      <c r="D35" s="474" t="str">
        <f>'data input for certificate'!E16</f>
        <v>test</v>
      </c>
      <c r="E35" s="474"/>
      <c r="F35" s="474"/>
      <c r="G35" s="474"/>
      <c r="H35" s="125"/>
      <c r="I35" s="451"/>
      <c r="J35" s="452"/>
    </row>
    <row r="36" spans="2:10" ht="42" customHeight="1">
      <c r="B36" s="443" t="s">
        <v>64</v>
      </c>
      <c r="C36" s="473"/>
      <c r="D36" s="419" t="str">
        <f>'data input for certificate'!E17</f>
        <v>tester</v>
      </c>
      <c r="E36" s="419"/>
      <c r="F36" s="419"/>
      <c r="G36" s="419"/>
      <c r="H36" s="125"/>
      <c r="I36" s="451"/>
      <c r="J36" s="452"/>
    </row>
    <row r="37" spans="2:10" ht="42" customHeight="1">
      <c r="B37" s="443" t="s">
        <v>65</v>
      </c>
      <c r="C37" s="473"/>
      <c r="D37" s="419" t="str">
        <f>'data input for certificate'!E18</f>
        <v>dave</v>
      </c>
      <c r="E37" s="419"/>
      <c r="F37" s="419"/>
      <c r="G37" s="419"/>
      <c r="H37" s="125"/>
      <c r="I37" s="451"/>
      <c r="J37" s="452"/>
    </row>
    <row r="38" spans="2:10" ht="42" customHeight="1">
      <c r="B38" s="156" t="s">
        <v>76</v>
      </c>
      <c r="C38" s="124"/>
      <c r="D38" s="419" t="str">
        <f>'data input for certificate'!E19</f>
        <v>joe</v>
      </c>
      <c r="E38" s="419"/>
      <c r="F38" s="419"/>
      <c r="G38" s="419"/>
      <c r="H38" s="125"/>
      <c r="I38" s="449" t="s">
        <v>71</v>
      </c>
      <c r="J38" s="450"/>
    </row>
    <row r="39" spans="2:10" ht="42" customHeight="1">
      <c r="B39" s="443" t="s">
        <v>63</v>
      </c>
      <c r="C39" s="443"/>
      <c r="D39" s="419" t="str">
        <f>'data input for certificate'!E20</f>
        <v>fred</v>
      </c>
      <c r="E39" s="419"/>
      <c r="F39" s="419"/>
      <c r="G39" s="419"/>
      <c r="H39" s="125"/>
      <c r="I39" s="451"/>
      <c r="J39" s="452"/>
    </row>
    <row r="40" spans="2:10" ht="42" customHeight="1">
      <c r="B40" s="156" t="s">
        <v>90</v>
      </c>
      <c r="C40" s="124"/>
      <c r="D40" s="469" t="str">
        <f>'data input for certificate'!E24</f>
        <v>13th September 2011</v>
      </c>
      <c r="E40" s="469"/>
      <c r="F40" s="469"/>
      <c r="G40" s="469"/>
      <c r="H40" s="126"/>
      <c r="I40" s="451"/>
      <c r="J40" s="452"/>
    </row>
    <row r="41" spans="2:10" ht="42" customHeight="1">
      <c r="B41" s="156" t="s">
        <v>91</v>
      </c>
      <c r="C41" s="124"/>
      <c r="D41" s="469" t="str">
        <f>'data input for certificate'!E21</f>
        <v>1st April 2018</v>
      </c>
      <c r="E41" s="469"/>
      <c r="F41" s="469"/>
      <c r="G41" s="469"/>
      <c r="H41" s="126"/>
      <c r="I41" s="451"/>
      <c r="J41" s="452"/>
    </row>
    <row r="42" spans="2:10" ht="42" customHeight="1">
      <c r="B42" s="470" t="s">
        <v>197</v>
      </c>
      <c r="C42" s="361"/>
      <c r="D42" s="446"/>
      <c r="E42" s="447"/>
      <c r="F42" s="447"/>
      <c r="G42" s="471" t="s">
        <v>32</v>
      </c>
      <c r="H42" s="472"/>
      <c r="I42" s="458"/>
      <c r="J42" s="459"/>
    </row>
    <row r="43" spans="2:10" ht="42" customHeight="1">
      <c r="B43" s="470" t="s">
        <v>31</v>
      </c>
      <c r="C43" s="361"/>
      <c r="D43" s="446"/>
      <c r="E43" s="447"/>
      <c r="F43" s="447"/>
      <c r="G43" s="471" t="s">
        <v>30</v>
      </c>
      <c r="H43" s="472"/>
      <c r="I43" s="469"/>
      <c r="J43" s="469"/>
    </row>
    <row r="44" spans="2:10" ht="6" customHeight="1">
      <c r="B44" s="2"/>
      <c r="C44" s="2"/>
      <c r="D44" s="2"/>
      <c r="E44" s="2"/>
      <c r="F44" s="2"/>
      <c r="G44" s="2"/>
      <c r="H44" s="2"/>
      <c r="I44" s="2"/>
      <c r="J44" s="2"/>
    </row>
    <row r="45" spans="2:10" ht="3.9" customHeight="1">
      <c r="B45" s="86"/>
      <c r="C45" s="86"/>
      <c r="D45" s="86"/>
      <c r="E45" s="86"/>
      <c r="F45" s="86"/>
      <c r="G45" s="86"/>
      <c r="H45" s="86"/>
      <c r="I45" s="86"/>
      <c r="J45" s="86"/>
    </row>
    <row r="46" spans="2:10" ht="22.5" customHeight="1">
      <c r="B46" s="441" t="s">
        <v>33</v>
      </c>
      <c r="C46" s="441"/>
      <c r="D46" s="441"/>
      <c r="E46" s="2"/>
      <c r="F46" s="2"/>
      <c r="G46" s="2"/>
      <c r="H46" s="2"/>
      <c r="I46" s="2"/>
      <c r="J46" s="2"/>
    </row>
    <row r="47" spans="2:10" ht="30" customHeight="1">
      <c r="B47" s="443" t="s">
        <v>66</v>
      </c>
      <c r="C47" s="443"/>
      <c r="D47" s="442"/>
      <c r="E47" s="442"/>
      <c r="F47" s="442"/>
      <c r="G47" s="442"/>
      <c r="H47" s="442"/>
      <c r="I47" s="442"/>
      <c r="J47" s="442"/>
    </row>
    <row r="48" spans="2:10" ht="30" customHeight="1">
      <c r="B48" s="444" t="s">
        <v>161</v>
      </c>
      <c r="C48" s="444"/>
      <c r="D48" s="444"/>
      <c r="E48" s="444"/>
      <c r="F48" s="444"/>
      <c r="G48" s="444"/>
      <c r="H48" s="444"/>
      <c r="I48" s="444"/>
      <c r="J48" s="444"/>
    </row>
    <row r="49" spans="2:10" ht="30" customHeight="1">
      <c r="B49" s="443" t="s">
        <v>67</v>
      </c>
      <c r="C49" s="443"/>
      <c r="D49" s="445"/>
      <c r="E49" s="445"/>
      <c r="F49" s="445"/>
      <c r="G49" s="445"/>
      <c r="H49" s="445"/>
      <c r="I49" s="445"/>
      <c r="J49" s="445"/>
    </row>
    <row r="50" spans="2:10" ht="30" customHeight="1">
      <c r="B50" s="87" t="s">
        <v>34</v>
      </c>
      <c r="C50" s="439"/>
      <c r="D50" s="439"/>
      <c r="E50" s="439"/>
      <c r="F50" s="439"/>
      <c r="G50" s="439"/>
      <c r="H50" s="439"/>
      <c r="I50" s="439"/>
      <c r="J50" s="439"/>
    </row>
    <row r="51" spans="2:10" ht="30" customHeight="1">
      <c r="B51" s="2"/>
      <c r="C51" s="439"/>
      <c r="D51" s="439"/>
      <c r="E51" s="439"/>
      <c r="F51" s="439"/>
      <c r="G51" s="439"/>
      <c r="H51" s="439"/>
      <c r="I51" s="439"/>
      <c r="J51" s="439"/>
    </row>
    <row r="52" spans="2:10" ht="15" customHeight="1">
      <c r="B52" s="440" t="s">
        <v>35</v>
      </c>
      <c r="C52" s="440"/>
      <c r="D52" s="440"/>
      <c r="E52" s="440"/>
      <c r="F52" s="440"/>
      <c r="G52" s="440"/>
      <c r="H52" s="2"/>
      <c r="I52" s="2"/>
      <c r="J52" s="2"/>
    </row>
    <row r="53" spans="2:10" ht="15" customHeight="1">
      <c r="B53" s="440" t="s">
        <v>36</v>
      </c>
      <c r="C53" s="440"/>
      <c r="D53" s="440"/>
      <c r="E53" s="440"/>
      <c r="F53" s="440"/>
      <c r="G53" s="440"/>
      <c r="H53" s="440"/>
      <c r="I53" s="440"/>
      <c r="J53" s="2"/>
    </row>
    <row r="54" spans="2:10" ht="15" customHeight="1">
      <c r="B54" s="440" t="s">
        <v>37</v>
      </c>
      <c r="C54" s="440"/>
      <c r="D54" s="440"/>
      <c r="E54" s="440"/>
      <c r="F54" s="440"/>
      <c r="G54" s="440"/>
      <c r="H54" s="440"/>
      <c r="I54" s="440"/>
      <c r="J54" s="440"/>
    </row>
    <row r="55" spans="2:10" ht="30" customHeight="1">
      <c r="B55" s="437" t="s">
        <v>75</v>
      </c>
      <c r="C55" s="437"/>
      <c r="D55" s="88" t="s">
        <v>198</v>
      </c>
      <c r="E55" s="88" t="s">
        <v>199</v>
      </c>
      <c r="F55" s="88"/>
      <c r="H55" s="90" t="s">
        <v>30</v>
      </c>
      <c r="I55" s="254"/>
      <c r="J55" s="91"/>
    </row>
    <row r="56" spans="2:10" ht="6" customHeight="1">
      <c r="B56" s="2"/>
      <c r="C56" s="2"/>
      <c r="D56" s="2"/>
      <c r="E56" s="2"/>
      <c r="F56" s="2"/>
      <c r="G56" s="2"/>
      <c r="H56" s="2"/>
      <c r="I56" s="2"/>
      <c r="J56" s="2"/>
    </row>
    <row r="57" spans="2:10" ht="3.75" customHeight="1">
      <c r="B57" s="86"/>
      <c r="C57" s="86"/>
      <c r="D57" s="86"/>
      <c r="E57" s="86"/>
      <c r="F57" s="86"/>
      <c r="G57" s="86"/>
      <c r="H57" s="86"/>
      <c r="I57" s="86"/>
      <c r="J57" s="86"/>
    </row>
    <row r="58" spans="2:10" ht="6" customHeight="1">
      <c r="B58" s="81"/>
      <c r="C58" s="81"/>
      <c r="D58" s="81"/>
      <c r="E58" s="81"/>
      <c r="F58" s="81"/>
      <c r="G58" s="81"/>
      <c r="H58" s="81"/>
      <c r="I58" s="81"/>
      <c r="J58" s="2"/>
    </row>
    <row r="59" spans="2:10" ht="29.25" customHeight="1">
      <c r="B59" s="97" t="s">
        <v>346</v>
      </c>
      <c r="C59" s="81"/>
      <c r="D59" s="81"/>
      <c r="E59" s="81"/>
      <c r="F59" s="81"/>
      <c r="G59" s="81"/>
      <c r="H59" s="81"/>
      <c r="I59" s="81"/>
      <c r="J59" s="92"/>
    </row>
    <row r="60" spans="2:10" ht="28.5" customHeight="1">
      <c r="B60" s="438" t="str">
        <f>'status of document'!B5</f>
        <v>Effective 1st April 2018</v>
      </c>
      <c r="C60" s="438"/>
      <c r="D60" s="438"/>
      <c r="E60" s="268">
        <f>'data input for certificate'!AA20</f>
        <v>45</v>
      </c>
      <c r="F60" s="255" t="s">
        <v>241</v>
      </c>
      <c r="G60" s="77"/>
      <c r="H60" s="77"/>
      <c r="I60" s="166" t="str">
        <f>'status of document'!B2</f>
        <v>FS and RC release version 1</v>
      </c>
      <c r="J60" s="276" t="str">
        <f>'status of document'!B7</f>
        <v>© 2018, IRSA</v>
      </c>
    </row>
    <row r="62" spans="2:10">
      <c r="B62" s="2"/>
      <c r="C62" s="2"/>
      <c r="D62" s="2"/>
      <c r="E62" s="2"/>
      <c r="F62" s="2"/>
      <c r="G62" s="2"/>
      <c r="H62" s="2"/>
      <c r="I62" s="2"/>
      <c r="J62" s="2"/>
    </row>
    <row r="63" spans="2:10">
      <c r="B63" s="2"/>
      <c r="C63" s="2"/>
      <c r="D63" s="2"/>
      <c r="E63" s="2"/>
      <c r="F63" s="2"/>
      <c r="G63" s="2"/>
      <c r="H63" s="2"/>
      <c r="I63" s="2"/>
    </row>
  </sheetData>
  <mergeCells count="75">
    <mergeCell ref="B19:C19"/>
    <mergeCell ref="B12:C12"/>
    <mergeCell ref="B13:C13"/>
    <mergeCell ref="B11:C11"/>
    <mergeCell ref="B14:C14"/>
    <mergeCell ref="B4:G4"/>
    <mergeCell ref="B6:C6"/>
    <mergeCell ref="B7:C7"/>
    <mergeCell ref="B9:C9"/>
    <mergeCell ref="B8:C8"/>
    <mergeCell ref="B18:C18"/>
    <mergeCell ref="B10:C10"/>
    <mergeCell ref="B39:C39"/>
    <mergeCell ref="B35:C35"/>
    <mergeCell ref="D35:G35"/>
    <mergeCell ref="D34:G34"/>
    <mergeCell ref="B34:C34"/>
    <mergeCell ref="B36:C36"/>
    <mergeCell ref="D36:G36"/>
    <mergeCell ref="B37:C37"/>
    <mergeCell ref="D37:G37"/>
    <mergeCell ref="D39:G39"/>
    <mergeCell ref="I43:J43"/>
    <mergeCell ref="B42:C42"/>
    <mergeCell ref="D40:G40"/>
    <mergeCell ref="D41:G41"/>
    <mergeCell ref="B43:C43"/>
    <mergeCell ref="D42:F42"/>
    <mergeCell ref="G42:H42"/>
    <mergeCell ref="G43:H43"/>
    <mergeCell ref="H3:J4"/>
    <mergeCell ref="I38:J41"/>
    <mergeCell ref="I34:J37"/>
    <mergeCell ref="H5:J5"/>
    <mergeCell ref="H6:H10"/>
    <mergeCell ref="I42:J42"/>
    <mergeCell ref="I6:J10"/>
    <mergeCell ref="I11:J19"/>
    <mergeCell ref="H11:H19"/>
    <mergeCell ref="D47:J47"/>
    <mergeCell ref="B47:C47"/>
    <mergeCell ref="B48:J48"/>
    <mergeCell ref="D49:J49"/>
    <mergeCell ref="B49:C49"/>
    <mergeCell ref="D43:F43"/>
    <mergeCell ref="B28:C28"/>
    <mergeCell ref="H26:H29"/>
    <mergeCell ref="B55:C55"/>
    <mergeCell ref="B60:D60"/>
    <mergeCell ref="C51:J51"/>
    <mergeCell ref="B52:G52"/>
    <mergeCell ref="B53:I53"/>
    <mergeCell ref="B54:J54"/>
    <mergeCell ref="C50:J50"/>
    <mergeCell ref="B46:D46"/>
    <mergeCell ref="B23:C23"/>
    <mergeCell ref="B20:C20"/>
    <mergeCell ref="B29:C29"/>
    <mergeCell ref="D38:G38"/>
    <mergeCell ref="B30:J30"/>
    <mergeCell ref="I26:J29"/>
    <mergeCell ref="B31:J31"/>
    <mergeCell ref="B32:J32"/>
    <mergeCell ref="B33:J33"/>
    <mergeCell ref="B26:C26"/>
    <mergeCell ref="B15:C15"/>
    <mergeCell ref="B17:C17"/>
    <mergeCell ref="B16:C16"/>
    <mergeCell ref="B27:C27"/>
    <mergeCell ref="I20:J25"/>
    <mergeCell ref="H20:H25"/>
    <mergeCell ref="B25:C25"/>
    <mergeCell ref="B24:C24"/>
    <mergeCell ref="B21:C21"/>
    <mergeCell ref="B22:C22"/>
  </mergeCells>
  <phoneticPr fontId="0" type="noConversion"/>
  <printOptions horizontalCentered="1" verticalCentered="1"/>
  <pageMargins left="0.59055118110236227" right="0.59055118110236227" top="0.59055118110236227" bottom="0.59055118110236227" header="0" footer="0"/>
  <pageSetup paperSize="9" scale="46" orientation="portrait" blackAndWhite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3"/>
  <sheetViews>
    <sheetView zoomScale="82" zoomScaleNormal="82" workbookViewId="0"/>
  </sheetViews>
  <sheetFormatPr baseColWidth="10" defaultColWidth="8.69921875" defaultRowHeight="15"/>
  <cols>
    <col min="1" max="1" width="4.8984375" style="113" customWidth="1"/>
    <col min="2" max="2" width="10.69921875" style="113" customWidth="1"/>
    <col min="3" max="3" width="8.59765625" style="113" customWidth="1"/>
    <col min="4" max="4" width="10.5" style="113" customWidth="1"/>
    <col min="5" max="5" width="8.59765625" style="113" customWidth="1"/>
    <col min="6" max="7" width="4.59765625" style="113" customWidth="1"/>
    <col min="8" max="8" width="8.59765625" style="113" customWidth="1"/>
    <col min="9" max="9" width="4.09765625" style="113" customWidth="1"/>
    <col min="10" max="10" width="6.19921875" style="113" customWidth="1"/>
    <col min="11" max="11" width="2.69921875" style="113" customWidth="1"/>
    <col min="12" max="12" width="9.09765625" style="113" customWidth="1"/>
    <col min="13" max="13" width="6.69921875" style="113" customWidth="1"/>
    <col min="14" max="14" width="7" style="113" customWidth="1"/>
    <col min="15" max="15" width="11.19921875" style="113" customWidth="1"/>
    <col min="16" max="16" width="9.69921875" style="113" customWidth="1"/>
    <col min="17" max="17" width="8.3984375" style="113" customWidth="1"/>
    <col min="18" max="18" width="2.69921875" style="113" customWidth="1"/>
    <col min="19" max="19" width="2.09765625" style="113" customWidth="1"/>
    <col min="20" max="20" width="6.69921875" style="113" customWidth="1"/>
    <col min="21" max="21" width="7" style="113" customWidth="1"/>
    <col min="22" max="22" width="11.19921875" style="113" customWidth="1"/>
    <col min="23" max="23" width="0.69921875" style="113" customWidth="1"/>
    <col min="24" max="24" width="11.19921875" style="113" customWidth="1"/>
    <col min="25" max="26" width="8.09765625" style="113" customWidth="1"/>
    <col min="27" max="27" width="13.8984375" style="113" hidden="1" customWidth="1"/>
    <col min="28" max="28" width="20.3984375" style="113" hidden="1" customWidth="1"/>
    <col min="29" max="29" width="3" style="113" hidden="1" customWidth="1"/>
    <col min="30" max="30" width="8.09765625" style="113" hidden="1" customWidth="1"/>
    <col min="31" max="31" width="17.69921875" style="113" hidden="1" customWidth="1"/>
    <col min="32" max="33" width="8.09765625" style="113" customWidth="1"/>
    <col min="34" max="16384" width="8.69921875" style="113"/>
  </cols>
  <sheetData>
    <row r="1" spans="1:25" ht="54.75" customHeight="1"/>
    <row r="2" spans="1:25" customFormat="1" ht="38.25" customHeight="1">
      <c r="B2" s="219" t="s">
        <v>232</v>
      </c>
      <c r="J2" s="215"/>
      <c r="P2" s="259">
        <f>'data input for certificate'!AA20</f>
        <v>45</v>
      </c>
      <c r="Q2" s="260" t="s">
        <v>241</v>
      </c>
    </row>
    <row r="3" spans="1:25" customFormat="1" ht="33" customHeight="1" thickBot="1">
      <c r="B3" s="218" t="s">
        <v>347</v>
      </c>
      <c r="C3" s="216"/>
      <c r="D3" s="216"/>
      <c r="E3" s="216"/>
      <c r="F3" s="216"/>
      <c r="G3" s="216"/>
      <c r="H3" s="113"/>
      <c r="I3" s="113"/>
      <c r="J3" s="113"/>
      <c r="K3" s="216"/>
      <c r="L3" s="216"/>
      <c r="M3" s="216"/>
      <c r="N3" s="216"/>
      <c r="O3" s="216"/>
      <c r="P3" s="216"/>
      <c r="Q3" s="216"/>
    </row>
    <row r="4" spans="1:25" s="37" customFormat="1" ht="16.2" thickBot="1">
      <c r="A4" s="36"/>
      <c r="B4" s="157" t="s">
        <v>233</v>
      </c>
      <c r="C4" s="158"/>
      <c r="D4" s="158"/>
      <c r="E4" s="158"/>
      <c r="F4" s="158"/>
      <c r="G4" s="158"/>
      <c r="H4" s="158"/>
      <c r="I4" s="158"/>
      <c r="J4" s="158"/>
      <c r="K4" s="477">
        <f>'data input for certificate'!E15</f>
        <v>1183</v>
      </c>
      <c r="L4" s="478"/>
      <c r="M4" s="197" t="s">
        <v>162</v>
      </c>
      <c r="N4" s="198"/>
      <c r="O4" s="198"/>
      <c r="P4" s="199"/>
      <c r="Q4" s="199"/>
      <c r="R4" s="199"/>
      <c r="S4" s="199"/>
      <c r="T4" s="199"/>
      <c r="U4" s="479" t="str">
        <f>'data input for certificate'!E21</f>
        <v>1st April 2018</v>
      </c>
      <c r="V4" s="480"/>
      <c r="W4" s="480"/>
      <c r="X4" s="481"/>
      <c r="Y4" s="36"/>
    </row>
    <row r="5" spans="1:25" s="37" customFormat="1" ht="15" customHeight="1">
      <c r="A5" s="36"/>
      <c r="B5" s="38" t="s">
        <v>7</v>
      </c>
      <c r="C5" s="39"/>
      <c r="D5" s="39"/>
      <c r="E5" s="39" t="s">
        <v>174</v>
      </c>
      <c r="H5" s="39"/>
      <c r="I5" s="39"/>
      <c r="J5" s="39"/>
      <c r="K5" s="43" t="s">
        <v>4</v>
      </c>
      <c r="L5" s="168">
        <f>'data input for certificate'!R21</f>
        <v>1372</v>
      </c>
      <c r="M5" s="53"/>
      <c r="N5" s="55"/>
      <c r="O5" s="99" t="s">
        <v>254</v>
      </c>
      <c r="P5" s="200"/>
      <c r="Q5" s="99"/>
      <c r="R5" s="99"/>
      <c r="S5" s="99"/>
      <c r="T5" s="99"/>
      <c r="U5" s="201"/>
      <c r="V5" s="482">
        <f>IF(I24&gt;0,ROUND(((0.28*I24)+23),0),0)</f>
        <v>97</v>
      </c>
      <c r="W5" s="483"/>
      <c r="X5" s="201"/>
      <c r="Y5" s="36"/>
    </row>
    <row r="6" spans="1:25" s="37" customFormat="1" ht="15" customHeight="1">
      <c r="A6" s="36"/>
      <c r="B6" s="41"/>
      <c r="C6" s="39"/>
      <c r="D6" s="39"/>
      <c r="E6" s="39" t="str">
        <f>'data input for certificate'!I22</f>
        <v>Extension of any bridged hollow in bow profile</v>
      </c>
      <c r="G6" s="42"/>
      <c r="H6" s="42"/>
      <c r="I6" s="39"/>
      <c r="J6" s="114"/>
      <c r="K6" s="43" t="s">
        <v>4</v>
      </c>
      <c r="L6" s="51">
        <f>'data input for certificate'!R22</f>
        <v>7</v>
      </c>
      <c r="M6" s="41"/>
      <c r="N6" s="39"/>
      <c r="O6" s="62" t="s">
        <v>54</v>
      </c>
      <c r="P6" s="56"/>
      <c r="Q6" s="62"/>
      <c r="R6" s="62"/>
      <c r="S6" s="62"/>
      <c r="T6" s="62"/>
      <c r="U6" s="169" t="s">
        <v>4</v>
      </c>
      <c r="V6" s="482">
        <f>L42</f>
        <v>97</v>
      </c>
      <c r="W6" s="483"/>
      <c r="X6" s="40"/>
      <c r="Y6" s="36"/>
    </row>
    <row r="7" spans="1:25" s="37" customFormat="1" ht="15" customHeight="1">
      <c r="A7" s="36"/>
      <c r="B7" s="41"/>
      <c r="C7" s="39"/>
      <c r="D7" s="39"/>
      <c r="E7" s="39" t="str">
        <f>'data input for certificate'!I23</f>
        <v>Extension of hull parts beyond FLWL ending</v>
      </c>
      <c r="G7" s="42"/>
      <c r="H7" s="42"/>
      <c r="I7" s="39"/>
      <c r="J7" s="114"/>
      <c r="K7" s="43" t="s">
        <v>4</v>
      </c>
      <c r="L7" s="51">
        <f>'data input for certificate'!R23</f>
        <v>0</v>
      </c>
      <c r="M7" s="170"/>
      <c r="N7" s="205"/>
      <c r="O7" s="62" t="s">
        <v>41</v>
      </c>
      <c r="P7" s="56"/>
      <c r="Q7" s="62"/>
      <c r="R7" s="62"/>
      <c r="S7" s="62"/>
      <c r="T7" s="47" t="s">
        <v>17</v>
      </c>
      <c r="U7" s="40"/>
      <c r="V7" s="482">
        <f>IF(V6&gt;V5,0,(V5-V6))</f>
        <v>0</v>
      </c>
      <c r="W7" s="483"/>
      <c r="X7" s="48"/>
      <c r="Y7" s="36"/>
    </row>
    <row r="8" spans="1:25" s="37" customFormat="1" ht="15" customHeight="1">
      <c r="A8" s="36"/>
      <c r="B8" s="41"/>
      <c r="C8" s="39"/>
      <c r="D8" s="39"/>
      <c r="E8" s="39" t="str">
        <f>'data input for certificate'!I24</f>
        <v>Extension of hull app. beyond FLWL ending</v>
      </c>
      <c r="H8" s="56"/>
      <c r="I8" s="62"/>
      <c r="J8" s="62"/>
      <c r="K8" s="43" t="s">
        <v>4</v>
      </c>
      <c r="L8" s="192">
        <f>'data input for certificate'!R24</f>
        <v>0</v>
      </c>
      <c r="M8" s="57"/>
      <c r="N8" s="49"/>
      <c r="O8" s="50" t="s">
        <v>55</v>
      </c>
      <c r="P8" s="171"/>
      <c r="Q8" s="50"/>
      <c r="R8" s="50"/>
      <c r="S8" s="50"/>
      <c r="T8" s="50"/>
      <c r="U8" s="60"/>
      <c r="V8" s="482">
        <f>V7</f>
        <v>0</v>
      </c>
      <c r="W8" s="483"/>
      <c r="X8" s="40"/>
      <c r="Y8" s="36"/>
    </row>
    <row r="9" spans="1:25" s="37" customFormat="1" ht="15" customHeight="1">
      <c r="A9" s="36"/>
      <c r="B9" s="41"/>
      <c r="C9" s="39"/>
      <c r="D9" s="39"/>
      <c r="E9" s="62" t="s">
        <v>143</v>
      </c>
      <c r="G9" s="39"/>
      <c r="H9" s="39"/>
      <c r="I9" s="39"/>
      <c r="J9" s="39"/>
      <c r="K9" s="43" t="s">
        <v>4</v>
      </c>
      <c r="L9" s="168">
        <f>'data input for certificate'!R25</f>
        <v>1379</v>
      </c>
      <c r="M9" s="53"/>
      <c r="N9" s="55"/>
      <c r="O9" s="55" t="s">
        <v>22</v>
      </c>
      <c r="P9" s="54"/>
      <c r="Q9" s="55"/>
      <c r="R9" s="55"/>
      <c r="S9" s="55"/>
      <c r="T9" s="55"/>
      <c r="U9" s="43" t="s">
        <v>4</v>
      </c>
      <c r="V9" s="482">
        <f>'data input for certificate'!R29</f>
        <v>310</v>
      </c>
      <c r="W9" s="483"/>
      <c r="X9" s="40"/>
      <c r="Y9" s="36"/>
    </row>
    <row r="10" spans="1:25" s="37" customFormat="1" ht="15" customHeight="1">
      <c r="A10" s="36"/>
      <c r="B10" s="70" t="s">
        <v>49</v>
      </c>
      <c r="C10" s="56"/>
      <c r="D10" s="46"/>
      <c r="E10" s="43" t="s">
        <v>4</v>
      </c>
      <c r="F10" s="482">
        <f>'data input for certificate'!R26</f>
        <v>1306</v>
      </c>
      <c r="G10" s="483"/>
      <c r="H10" s="39"/>
      <c r="I10" s="39"/>
      <c r="J10" s="39"/>
      <c r="K10" s="39"/>
      <c r="L10" s="39"/>
      <c r="M10" s="41"/>
      <c r="N10" s="39"/>
      <c r="O10" s="39" t="s">
        <v>23</v>
      </c>
      <c r="P10" s="42"/>
      <c r="Q10" s="39"/>
      <c r="R10" s="39"/>
      <c r="S10" s="39"/>
      <c r="T10" s="39"/>
      <c r="U10" s="43" t="s">
        <v>4</v>
      </c>
      <c r="V10" s="482">
        <f>IF(L9&gt;0,ROUND((0.16*L9+89),0),0)</f>
        <v>310</v>
      </c>
      <c r="W10" s="483"/>
      <c r="X10" s="40"/>
      <c r="Y10" s="36"/>
    </row>
    <row r="11" spans="1:25" s="37" customFormat="1" ht="15" customHeight="1">
      <c r="A11" s="36"/>
      <c r="B11" s="70" t="s">
        <v>50</v>
      </c>
      <c r="C11" s="46"/>
      <c r="D11" s="46"/>
      <c r="E11" s="43" t="s">
        <v>4</v>
      </c>
      <c r="F11" s="482">
        <f>'data input for certificate'!R27</f>
        <v>1305</v>
      </c>
      <c r="G11" s="483"/>
      <c r="H11" s="39"/>
      <c r="I11" s="39"/>
      <c r="J11" s="39"/>
      <c r="K11" s="39"/>
      <c r="L11" s="39"/>
      <c r="M11" s="41"/>
      <c r="N11" s="39"/>
      <c r="O11" s="39" t="s">
        <v>5</v>
      </c>
      <c r="P11" s="42"/>
      <c r="Q11" s="39"/>
      <c r="R11" s="39"/>
      <c r="S11" s="39"/>
      <c r="T11" s="47" t="s">
        <v>17</v>
      </c>
      <c r="U11" s="43" t="s">
        <v>4</v>
      </c>
      <c r="V11" s="482">
        <f>IF(V9&gt;V10,V9-V10,0)</f>
        <v>0</v>
      </c>
      <c r="W11" s="483"/>
      <c r="X11" s="40"/>
      <c r="Y11" s="36"/>
    </row>
    <row r="12" spans="1:25" s="37" customFormat="1" ht="15" customHeight="1">
      <c r="A12" s="36"/>
      <c r="B12" s="70" t="s">
        <v>51</v>
      </c>
      <c r="C12" s="62"/>
      <c r="D12" s="46"/>
      <c r="E12" s="39"/>
      <c r="F12" s="36"/>
      <c r="G12" s="39"/>
      <c r="H12" s="43" t="s">
        <v>4</v>
      </c>
      <c r="I12" s="485">
        <f>ROUND((F10+F11)/2,0)</f>
        <v>1306</v>
      </c>
      <c r="J12" s="486"/>
      <c r="K12" s="39"/>
      <c r="L12" s="39"/>
      <c r="M12" s="41"/>
      <c r="N12" s="39"/>
      <c r="O12" s="270" t="s">
        <v>56</v>
      </c>
      <c r="P12" s="115"/>
      <c r="Q12" s="159"/>
      <c r="R12" s="39"/>
      <c r="S12" s="39"/>
      <c r="T12" s="39"/>
      <c r="U12" s="43" t="s">
        <v>4</v>
      </c>
      <c r="V12" s="504">
        <f>V11*3</f>
        <v>0</v>
      </c>
      <c r="W12" s="505"/>
      <c r="X12" s="48"/>
      <c r="Y12" s="36"/>
    </row>
    <row r="13" spans="1:25" s="37" customFormat="1" ht="15" customHeight="1">
      <c r="A13" s="36"/>
      <c r="B13" s="271" t="s">
        <v>82</v>
      </c>
      <c r="C13" s="46"/>
      <c r="D13" s="56"/>
      <c r="E13" s="56"/>
      <c r="F13" s="56"/>
      <c r="G13" s="115"/>
      <c r="H13" s="43" t="s">
        <v>4</v>
      </c>
      <c r="I13" s="485">
        <f>ROUND(((100-SQRT(0.02*L9))*L9/100),0)</f>
        <v>1307</v>
      </c>
      <c r="J13" s="486"/>
      <c r="K13" s="39"/>
      <c r="L13" s="39"/>
      <c r="M13" s="69"/>
      <c r="N13" s="58"/>
      <c r="O13" s="83" t="s">
        <v>57</v>
      </c>
      <c r="P13" s="84"/>
      <c r="Q13" s="58"/>
      <c r="R13" s="58"/>
      <c r="S13" s="58"/>
      <c r="T13" s="58"/>
      <c r="U13" s="58"/>
      <c r="V13" s="172" t="s">
        <v>4</v>
      </c>
      <c r="W13" s="173"/>
      <c r="X13" s="175">
        <f>V8+V12</f>
        <v>0</v>
      </c>
      <c r="Y13" s="36"/>
    </row>
    <row r="14" spans="1:25" s="37" customFormat="1" ht="15" customHeight="1">
      <c r="A14" s="36"/>
      <c r="B14" s="41"/>
      <c r="C14" s="39"/>
      <c r="D14" s="39"/>
      <c r="E14" s="39"/>
      <c r="F14" s="506" t="s">
        <v>48</v>
      </c>
      <c r="G14" s="507"/>
      <c r="H14" s="43" t="s">
        <v>4</v>
      </c>
      <c r="I14" s="485">
        <f>IF(I12&lt;I13,0,I12-I13)</f>
        <v>0</v>
      </c>
      <c r="J14" s="486"/>
      <c r="K14" s="39"/>
      <c r="L14" s="39"/>
      <c r="M14" s="174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76"/>
      <c r="Y14" s="36"/>
    </row>
    <row r="15" spans="1:25" s="37" customFormat="1" ht="15" customHeight="1" thickBot="1">
      <c r="A15" s="36"/>
      <c r="B15" s="41"/>
      <c r="C15" s="39"/>
      <c r="D15" s="42"/>
      <c r="E15" s="62"/>
      <c r="F15" s="62" t="s">
        <v>52</v>
      </c>
      <c r="G15" s="46"/>
      <c r="H15" s="46"/>
      <c r="I15" s="56"/>
      <c r="J15" s="272" t="s">
        <v>6</v>
      </c>
      <c r="K15" s="43" t="s">
        <v>4</v>
      </c>
      <c r="L15" s="193">
        <f>ROUND(I14/2,0)</f>
        <v>0</v>
      </c>
      <c r="M15" s="41"/>
      <c r="N15" s="39"/>
      <c r="P15" s="39"/>
      <c r="Q15" s="39"/>
      <c r="R15" s="39"/>
      <c r="S15" s="39"/>
      <c r="T15" s="39"/>
      <c r="U15" s="39"/>
      <c r="V15" s="62"/>
      <c r="W15" s="101"/>
      <c r="X15" s="40"/>
      <c r="Y15" s="36"/>
    </row>
    <row r="16" spans="1:25" s="37" customFormat="1" ht="15" customHeight="1" thickBot="1">
      <c r="A16" s="36"/>
      <c r="B16" s="41"/>
      <c r="C16" s="39"/>
      <c r="D16" s="39"/>
      <c r="E16" s="85" t="s">
        <v>53</v>
      </c>
      <c r="F16" s="62"/>
      <c r="G16" s="62"/>
      <c r="H16" s="62"/>
      <c r="I16" s="62"/>
      <c r="J16" s="39"/>
      <c r="K16" s="59"/>
      <c r="L16" s="194">
        <f>L9+L15</f>
        <v>1379</v>
      </c>
      <c r="M16" s="70"/>
      <c r="N16" s="286" t="s">
        <v>292</v>
      </c>
      <c r="O16" s="66">
        <f>'data input for certificate'!R37</f>
        <v>2166</v>
      </c>
      <c r="P16" s="39" t="s">
        <v>58</v>
      </c>
      <c r="Q16" s="62"/>
      <c r="R16" s="93"/>
      <c r="S16" s="43"/>
      <c r="T16" s="207"/>
      <c r="U16" s="62"/>
      <c r="V16" s="62"/>
      <c r="W16" s="101"/>
      <c r="X16" s="40"/>
      <c r="Y16" s="36"/>
    </row>
    <row r="17" spans="1:25" s="37" customFormat="1" ht="15" customHeight="1">
      <c r="A17" s="40"/>
      <c r="B17" s="57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70"/>
      <c r="N17" s="286" t="s">
        <v>293</v>
      </c>
      <c r="O17" s="66">
        <f>'data input for certificate'!R38</f>
        <v>2130</v>
      </c>
      <c r="P17" s="62"/>
      <c r="Q17" s="62"/>
      <c r="R17" s="62"/>
      <c r="S17" s="62"/>
      <c r="T17" s="56"/>
      <c r="U17" s="202"/>
      <c r="V17" s="62"/>
      <c r="W17" s="101"/>
      <c r="X17" s="40"/>
      <c r="Y17" s="36"/>
    </row>
    <row r="18" spans="1:25" s="37" customFormat="1" ht="15" customHeight="1">
      <c r="A18" s="40"/>
      <c r="B18" s="41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208"/>
      <c r="N18" s="211"/>
      <c r="O18" s="207"/>
      <c r="P18" s="62"/>
      <c r="Q18" s="62"/>
      <c r="R18" s="93" t="s">
        <v>72</v>
      </c>
      <c r="S18" s="210" t="s">
        <v>3</v>
      </c>
      <c r="T18" s="66">
        <f>'data input for certificate'!R40</f>
        <v>1621</v>
      </c>
      <c r="U18" s="39" t="s">
        <v>70</v>
      </c>
      <c r="V18" s="62"/>
      <c r="W18" s="101"/>
      <c r="X18" s="40"/>
      <c r="Y18" s="36"/>
    </row>
    <row r="19" spans="1:25" s="37" customFormat="1" ht="15" customHeight="1">
      <c r="A19" s="36"/>
      <c r="B19" s="38" t="s">
        <v>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70"/>
      <c r="N19" s="62"/>
      <c r="O19" s="56"/>
      <c r="P19" s="62"/>
      <c r="Q19" s="62"/>
      <c r="R19" s="62"/>
      <c r="S19" s="62"/>
      <c r="U19" s="62"/>
      <c r="V19" s="62"/>
      <c r="W19" s="101"/>
      <c r="X19" s="40"/>
      <c r="Y19" s="36"/>
    </row>
    <row r="20" spans="1:25" s="37" customFormat="1" ht="8.4" customHeight="1">
      <c r="A20" s="36"/>
      <c r="B20" s="41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70"/>
      <c r="N20" s="62"/>
      <c r="O20" s="62"/>
      <c r="P20" s="62"/>
      <c r="Q20" s="62"/>
      <c r="R20" s="62"/>
      <c r="S20" s="62"/>
      <c r="T20" s="62"/>
      <c r="U20" s="62"/>
      <c r="V20" s="62"/>
      <c r="W20" s="101"/>
      <c r="X20" s="40"/>
      <c r="Y20" s="36"/>
    </row>
    <row r="21" spans="1:25" s="37" customFormat="1" ht="15" customHeight="1">
      <c r="A21" s="36"/>
      <c r="B21" s="70" t="s">
        <v>249</v>
      </c>
      <c r="C21" s="46"/>
      <c r="D21" s="62"/>
      <c r="E21" s="43" t="s">
        <v>4</v>
      </c>
      <c r="F21" s="482">
        <f>'data input for certificate'!R16</f>
        <v>18.399999999999999</v>
      </c>
      <c r="G21" s="483"/>
      <c r="H21" s="39" t="s">
        <v>10</v>
      </c>
      <c r="I21" s="485">
        <f>F21*1000000</f>
        <v>18400000</v>
      </c>
      <c r="J21" s="493"/>
      <c r="K21" s="39"/>
      <c r="L21" s="39"/>
      <c r="M21" s="209"/>
      <c r="N21" s="43"/>
      <c r="O21" s="62"/>
      <c r="P21" s="62"/>
      <c r="Q21" s="62"/>
      <c r="R21" s="93"/>
      <c r="S21" s="43"/>
      <c r="T21" s="96"/>
      <c r="U21" s="491" t="s">
        <v>190</v>
      </c>
      <c r="V21" s="491"/>
      <c r="W21" s="101"/>
      <c r="X21" s="40"/>
      <c r="Y21" s="36"/>
    </row>
    <row r="22" spans="1:25" s="37" customFormat="1" ht="15" customHeight="1">
      <c r="A22" s="36"/>
      <c r="B22" s="63"/>
      <c r="C22" s="39"/>
      <c r="D22" s="39"/>
      <c r="E22" s="114"/>
      <c r="F22" s="114"/>
      <c r="G22" s="64"/>
      <c r="H22" s="49"/>
      <c r="I22" s="65"/>
      <c r="J22" s="39"/>
      <c r="K22" s="39"/>
      <c r="L22" s="39"/>
      <c r="M22" s="209"/>
      <c r="N22" s="508" t="s">
        <v>68</v>
      </c>
      <c r="O22" s="508"/>
      <c r="P22" s="508"/>
      <c r="Q22" s="62"/>
      <c r="R22" s="62"/>
      <c r="S22" s="62"/>
      <c r="T22" s="66">
        <f>'data input for certificate'!R49</f>
        <v>332</v>
      </c>
      <c r="U22" s="491"/>
      <c r="V22" s="491"/>
      <c r="W22" s="101"/>
      <c r="X22" s="40"/>
      <c r="Y22" s="36"/>
    </row>
    <row r="23" spans="1:25" s="37" customFormat="1" ht="13.2" customHeight="1">
      <c r="A23" s="36"/>
      <c r="B23" s="41"/>
      <c r="C23" s="67"/>
      <c r="D23" s="68"/>
      <c r="E23" s="39"/>
      <c r="F23" s="39"/>
      <c r="G23" s="69"/>
      <c r="H23" s="39"/>
      <c r="I23" s="39"/>
      <c r="J23" s="39"/>
      <c r="K23" s="39"/>
      <c r="L23" s="39"/>
      <c r="M23" s="70"/>
      <c r="N23" s="266" t="s">
        <v>45</v>
      </c>
      <c r="O23" s="66">
        <f>'data input for certificate'!R48</f>
        <v>206</v>
      </c>
      <c r="P23" s="62"/>
      <c r="Q23" s="62"/>
      <c r="R23" s="62"/>
      <c r="S23" s="62"/>
      <c r="T23" s="62"/>
      <c r="U23" s="62"/>
      <c r="V23" s="62"/>
      <c r="W23" s="101"/>
      <c r="X23" s="40"/>
      <c r="Y23" s="36"/>
    </row>
    <row r="24" spans="1:25" s="37" customFormat="1" ht="15" customHeight="1">
      <c r="A24" s="36"/>
      <c r="B24" s="70" t="s">
        <v>39</v>
      </c>
      <c r="C24" s="62"/>
      <c r="D24" s="62"/>
      <c r="E24" s="71" t="s">
        <v>9</v>
      </c>
      <c r="F24" s="502">
        <f>I21</f>
        <v>18400000</v>
      </c>
      <c r="G24" s="503"/>
      <c r="H24" s="43" t="s">
        <v>4</v>
      </c>
      <c r="I24" s="485">
        <f>ROUND(F24^(1/3),0)</f>
        <v>264</v>
      </c>
      <c r="J24" s="493"/>
      <c r="K24" s="39"/>
      <c r="L24" s="39"/>
      <c r="M24" s="209"/>
      <c r="N24" s="267"/>
      <c r="P24" s="62"/>
      <c r="Q24" s="62"/>
      <c r="R24" s="62"/>
      <c r="S24" s="62"/>
      <c r="T24" s="287">
        <f>'data input for certificate'!T37</f>
        <v>1126</v>
      </c>
      <c r="U24" s="509" t="str">
        <f>'data input for certificate'!U37</f>
        <v>Maximum genoa foot</v>
      </c>
      <c r="V24" s="510"/>
      <c r="W24" s="101"/>
      <c r="X24" s="40"/>
      <c r="Y24" s="36"/>
    </row>
    <row r="25" spans="1:25" s="37" customFormat="1" ht="15" customHeight="1">
      <c r="A25" s="36"/>
      <c r="B25" s="70"/>
      <c r="C25" s="62"/>
      <c r="D25" s="62"/>
      <c r="E25" s="39"/>
      <c r="F25" s="39"/>
      <c r="G25" s="39"/>
      <c r="H25" s="39"/>
      <c r="I25" s="39"/>
      <c r="J25" s="72" t="s">
        <v>12</v>
      </c>
      <c r="K25" s="75"/>
      <c r="L25" s="39"/>
      <c r="M25" s="209"/>
      <c r="N25" s="266" t="s">
        <v>44</v>
      </c>
      <c r="O25" s="66">
        <f>'data input for certificate'!R47</f>
        <v>311</v>
      </c>
      <c r="P25" s="62"/>
      <c r="Q25" s="62"/>
      <c r="R25" s="62"/>
      <c r="S25" s="62"/>
      <c r="T25" s="116"/>
      <c r="U25" s="293"/>
      <c r="V25" s="116"/>
      <c r="W25" s="101"/>
      <c r="X25" s="40"/>
      <c r="Y25" s="36"/>
    </row>
    <row r="26" spans="1:25" s="37" customFormat="1" ht="15" customHeight="1">
      <c r="A26" s="36"/>
      <c r="B26" s="41"/>
      <c r="C26" s="36"/>
      <c r="D26" s="36"/>
      <c r="E26" s="39"/>
      <c r="F26" s="39"/>
      <c r="G26" s="39" t="s">
        <v>13</v>
      </c>
      <c r="H26" s="39"/>
      <c r="I26" s="39"/>
      <c r="J26" s="114"/>
      <c r="K26" s="43" t="s">
        <v>4</v>
      </c>
      <c r="L26" s="51">
        <f>MIN(I24,I28)</f>
        <v>264</v>
      </c>
      <c r="M26" s="209"/>
      <c r="N26" s="267"/>
      <c r="P26" s="62"/>
      <c r="Q26" s="62"/>
      <c r="R26" s="62"/>
      <c r="S26" s="62"/>
      <c r="T26" s="291">
        <f>'data input for certificate'!T38</f>
        <v>663</v>
      </c>
      <c r="U26" s="509" t="str">
        <f>'data input for certificate'!U38</f>
        <v>Spi minimum half width</v>
      </c>
      <c r="V26" s="510"/>
      <c r="W26" s="212"/>
      <c r="X26" s="40"/>
      <c r="Y26" s="36"/>
    </row>
    <row r="27" spans="1:25" s="37" customFormat="1" ht="15" customHeight="1">
      <c r="A27" s="36"/>
      <c r="B27" s="41"/>
      <c r="C27" s="39"/>
      <c r="D27" s="39"/>
      <c r="E27" s="39"/>
      <c r="F27" s="39"/>
      <c r="G27" s="39"/>
      <c r="H27" s="39"/>
      <c r="I27" s="39"/>
      <c r="J27" s="72" t="s">
        <v>11</v>
      </c>
      <c r="K27" s="75"/>
      <c r="L27" s="39"/>
      <c r="M27" s="70"/>
      <c r="N27" s="266" t="s">
        <v>43</v>
      </c>
      <c r="O27" s="66">
        <f>'data input for certificate'!R46</f>
        <v>392</v>
      </c>
      <c r="P27" s="62"/>
      <c r="Q27" s="62"/>
      <c r="R27" s="62"/>
      <c r="S27" s="62"/>
      <c r="T27" s="62"/>
      <c r="U27" s="293"/>
      <c r="V27" s="294"/>
      <c r="W27" s="101"/>
      <c r="X27" s="40"/>
      <c r="Y27" s="36"/>
    </row>
    <row r="28" spans="1:25" s="37" customFormat="1" ht="15" customHeight="1">
      <c r="A28" s="36"/>
      <c r="B28" s="70" t="s">
        <v>250</v>
      </c>
      <c r="C28" s="56"/>
      <c r="D28" s="56"/>
      <c r="E28" s="62" t="s">
        <v>14</v>
      </c>
      <c r="F28" s="56"/>
      <c r="G28" s="56"/>
      <c r="H28" s="43" t="s">
        <v>4</v>
      </c>
      <c r="I28" s="485">
        <f>IF(L9&gt;0,ROUND((0.2*L9)+25,0),0)</f>
        <v>301</v>
      </c>
      <c r="J28" s="493"/>
      <c r="K28" s="39"/>
      <c r="L28" s="39"/>
      <c r="M28" s="500"/>
      <c r="N28" s="501"/>
      <c r="O28" s="390"/>
      <c r="P28" s="62"/>
      <c r="Q28" s="62"/>
      <c r="R28" s="62"/>
      <c r="S28" s="62"/>
      <c r="T28" s="287">
        <f>'data input for certificate'!T39</f>
        <v>1278</v>
      </c>
      <c r="U28" s="509" t="str">
        <f>'data input for certificate'!U39</f>
        <v>Spi max - foot &amp; widths</v>
      </c>
      <c r="V28" s="510"/>
      <c r="W28" s="101"/>
      <c r="X28" s="40"/>
      <c r="Y28" s="36"/>
    </row>
    <row r="29" spans="1:25" s="37" customFormat="1" ht="15" customHeight="1">
      <c r="A29" s="36"/>
      <c r="B29" s="70"/>
      <c r="C29" s="45"/>
      <c r="D29" s="45"/>
      <c r="E29" s="62"/>
      <c r="F29" s="56"/>
      <c r="G29" s="56"/>
      <c r="H29" s="56"/>
      <c r="I29" s="39"/>
      <c r="J29" s="39"/>
      <c r="K29" s="39"/>
      <c r="L29" s="39"/>
      <c r="M29" s="79"/>
      <c r="N29" s="265" t="s">
        <v>294</v>
      </c>
      <c r="O29" s="66">
        <f>'data input for certificate'!R39</f>
        <v>402</v>
      </c>
      <c r="P29" s="62"/>
      <c r="Q29" s="62"/>
      <c r="R29" s="93"/>
      <c r="S29" s="43"/>
      <c r="T29" s="207"/>
      <c r="U29" s="62"/>
      <c r="V29" s="62"/>
      <c r="W29" s="101"/>
      <c r="X29" s="40"/>
      <c r="Y29" s="36"/>
    </row>
    <row r="30" spans="1:25" s="37" customFormat="1" ht="15" customHeight="1">
      <c r="A30" s="36"/>
      <c r="B30" s="70" t="s">
        <v>251</v>
      </c>
      <c r="C30" s="56"/>
      <c r="D30" s="56"/>
      <c r="E30" s="62" t="s">
        <v>15</v>
      </c>
      <c r="F30" s="56"/>
      <c r="G30" s="56"/>
      <c r="H30" s="43" t="s">
        <v>4</v>
      </c>
      <c r="I30" s="485">
        <f>IF(L9&gt;0,ROUND((0.2*L9)+10,0),0)</f>
        <v>286</v>
      </c>
      <c r="J30" s="493"/>
      <c r="K30" s="39"/>
      <c r="L30" s="39"/>
      <c r="M30" s="79"/>
      <c r="N30" s="115"/>
      <c r="O30" s="62"/>
      <c r="P30" s="62"/>
      <c r="Q30" s="62"/>
      <c r="R30" s="62"/>
      <c r="S30" s="62"/>
      <c r="T30" s="62"/>
      <c r="U30" s="62"/>
      <c r="V30" s="62"/>
      <c r="W30" s="101"/>
      <c r="X30" s="40"/>
      <c r="Y30" s="36"/>
    </row>
    <row r="31" spans="1:25" s="37" customFormat="1" ht="15" customHeight="1">
      <c r="A31" s="36"/>
      <c r="B31" s="61"/>
      <c r="C31" s="56"/>
      <c r="D31" s="56"/>
      <c r="E31" s="62" t="s">
        <v>252</v>
      </c>
      <c r="F31" s="56"/>
      <c r="G31" s="56"/>
      <c r="H31" s="43" t="s">
        <v>4</v>
      </c>
      <c r="I31" s="485">
        <f>I24</f>
        <v>264</v>
      </c>
      <c r="J31" s="493"/>
      <c r="K31" s="39"/>
      <c r="L31" s="39"/>
      <c r="M31" s="79"/>
      <c r="N31" s="115"/>
      <c r="O31" s="62"/>
      <c r="P31" s="269" t="s">
        <v>247</v>
      </c>
      <c r="Q31" s="94"/>
      <c r="R31" s="62"/>
      <c r="S31" s="62"/>
      <c r="T31" s="62"/>
      <c r="U31" s="56"/>
      <c r="V31" s="56"/>
      <c r="W31" s="102"/>
      <c r="X31" s="40"/>
      <c r="Y31" s="36"/>
    </row>
    <row r="32" spans="1:25" s="37" customFormat="1" ht="15" customHeight="1">
      <c r="A32" s="36"/>
      <c r="B32" s="61"/>
      <c r="C32" s="56"/>
      <c r="D32" s="56"/>
      <c r="E32" s="62" t="s">
        <v>16</v>
      </c>
      <c r="F32" s="115"/>
      <c r="G32" s="115"/>
      <c r="H32" s="43" t="s">
        <v>4</v>
      </c>
      <c r="I32" s="485">
        <f>I30-I31</f>
        <v>22</v>
      </c>
      <c r="J32" s="493"/>
      <c r="K32" s="39"/>
      <c r="L32" s="39"/>
      <c r="M32" s="70"/>
      <c r="N32" s="62"/>
      <c r="O32" s="269" t="s">
        <v>246</v>
      </c>
      <c r="P32" s="204">
        <f>'data input for certificate'!R42-1</f>
        <v>98</v>
      </c>
      <c r="Q32" s="512" t="s">
        <v>206</v>
      </c>
      <c r="R32" s="512"/>
      <c r="S32" s="513"/>
      <c r="T32" s="204">
        <f>'data input for certificate'!R41</f>
        <v>563</v>
      </c>
      <c r="U32" s="62" t="s">
        <v>248</v>
      </c>
      <c r="V32" s="56"/>
      <c r="W32" s="102"/>
      <c r="X32" s="40"/>
      <c r="Y32" s="36"/>
    </row>
    <row r="33" spans="1:31" s="37" customFormat="1" ht="15" customHeight="1" thickBot="1">
      <c r="A33" s="36"/>
      <c r="B33" s="41"/>
      <c r="C33" s="39"/>
      <c r="D33" s="39"/>
      <c r="E33" s="46" t="s">
        <v>253</v>
      </c>
      <c r="F33" s="62"/>
      <c r="G33" s="62"/>
      <c r="H33" s="62"/>
      <c r="I33" s="46"/>
      <c r="J33" s="46"/>
      <c r="K33" s="43" t="s">
        <v>4</v>
      </c>
      <c r="L33" s="195">
        <f>IF(I32&gt;0,I31-I32,I31)</f>
        <v>242</v>
      </c>
      <c r="M33" s="70"/>
      <c r="N33" s="62"/>
      <c r="O33" s="269" t="s">
        <v>203</v>
      </c>
      <c r="P33" s="204">
        <f>P32+2</f>
        <v>100</v>
      </c>
      <c r="Q33" s="94" t="s">
        <v>202</v>
      </c>
      <c r="R33" s="62"/>
      <c r="S33" s="62"/>
      <c r="T33" s="62"/>
      <c r="U33" s="62"/>
      <c r="V33" s="62"/>
      <c r="W33" s="101"/>
      <c r="X33" s="40"/>
      <c r="Y33" s="36"/>
    </row>
    <row r="34" spans="1:31" s="37" customFormat="1" ht="15" customHeight="1" thickBot="1">
      <c r="A34" s="36"/>
      <c r="B34" s="41"/>
      <c r="C34" s="39"/>
      <c r="D34" s="39"/>
      <c r="E34" s="62"/>
      <c r="F34" s="62"/>
      <c r="G34" s="62"/>
      <c r="H34" s="514" t="s">
        <v>95</v>
      </c>
      <c r="I34" s="514"/>
      <c r="J34" s="514"/>
      <c r="K34" s="515"/>
      <c r="L34" s="196">
        <f>IF(MIN(L26,L33)&gt;0,MIN(L26,L33),0)</f>
        <v>242</v>
      </c>
      <c r="M34" s="70"/>
      <c r="N34" s="62"/>
      <c r="Q34" s="207"/>
      <c r="R34" s="62"/>
      <c r="S34" s="62"/>
      <c r="T34" s="95"/>
      <c r="U34" s="56"/>
      <c r="V34" s="56"/>
      <c r="W34" s="102"/>
      <c r="X34" s="40"/>
      <c r="Y34" s="36"/>
    </row>
    <row r="35" spans="1:31" s="37" customFormat="1" ht="7.95" customHeight="1">
      <c r="A35" s="40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70"/>
      <c r="N35" s="62"/>
      <c r="O35" s="62"/>
      <c r="P35" s="62"/>
      <c r="Q35" s="50"/>
      <c r="R35" s="50"/>
      <c r="S35" s="50"/>
      <c r="T35" s="96"/>
      <c r="U35" s="50"/>
      <c r="V35" s="50"/>
      <c r="W35" s="50"/>
      <c r="X35" s="73"/>
      <c r="Y35" s="46"/>
    </row>
    <row r="36" spans="1:31" s="37" customFormat="1" ht="15" customHeight="1">
      <c r="A36" s="36"/>
      <c r="B36" s="38" t="s">
        <v>20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53"/>
      <c r="N36" s="55"/>
      <c r="O36" s="55"/>
      <c r="P36" s="55"/>
      <c r="Q36" s="55"/>
      <c r="R36" s="55"/>
      <c r="S36" s="55"/>
      <c r="T36" s="39"/>
      <c r="U36" s="55"/>
      <c r="V36" s="99"/>
      <c r="W36" s="99"/>
      <c r="X36" s="73"/>
      <c r="Y36" s="46"/>
    </row>
    <row r="37" spans="1:31" s="37" customFormat="1" ht="15" customHeight="1">
      <c r="A37" s="36"/>
      <c r="B37" s="52" t="s">
        <v>21</v>
      </c>
      <c r="C37" s="36"/>
      <c r="D37" s="39"/>
      <c r="E37" s="39"/>
      <c r="F37" s="511" t="s">
        <v>18</v>
      </c>
      <c r="G37" s="511"/>
      <c r="H37" s="39" t="s">
        <v>19</v>
      </c>
      <c r="I37" s="39"/>
      <c r="J37" s="39"/>
      <c r="K37" s="39"/>
      <c r="L37" s="39"/>
      <c r="M37" s="271" t="s">
        <v>47</v>
      </c>
      <c r="N37" s="206"/>
      <c r="O37" s="64" t="s">
        <v>27</v>
      </c>
      <c r="P37" s="39"/>
      <c r="Q37" s="498" t="str">
        <f>CONCATENATE(TEXT(O17,"####")," x ",TEXT(O29,"####"))</f>
        <v>2130 x 402</v>
      </c>
      <c r="R37" s="499"/>
      <c r="S37" s="499"/>
      <c r="T37" s="499"/>
      <c r="U37" s="43" t="s">
        <v>4</v>
      </c>
      <c r="V37" s="482">
        <f>ROUND(O17*O29/2,0)</f>
        <v>428130</v>
      </c>
      <c r="W37" s="487"/>
      <c r="X37" s="74"/>
      <c r="Y37" s="36"/>
    </row>
    <row r="38" spans="1:31" s="37" customFormat="1" ht="15" customHeight="1">
      <c r="A38" s="36"/>
      <c r="B38" s="41"/>
      <c r="C38" s="39"/>
      <c r="D38" s="39"/>
      <c r="E38" s="285" t="s">
        <v>289</v>
      </c>
      <c r="F38" s="485">
        <f>'data input for certificate'!R32</f>
        <v>108</v>
      </c>
      <c r="G38" s="493"/>
      <c r="H38" s="44">
        <f>'data input for certificate'!S32</f>
        <v>108</v>
      </c>
      <c r="I38" s="39"/>
      <c r="J38" s="42"/>
      <c r="K38" s="43" t="s">
        <v>4</v>
      </c>
      <c r="L38" s="184">
        <f>ROUND((F38+H38)/2,0)</f>
        <v>108</v>
      </c>
      <c r="M38" s="70"/>
      <c r="N38" s="62"/>
      <c r="O38" s="75">
        <v>2</v>
      </c>
      <c r="P38" s="39"/>
      <c r="Q38" s="39"/>
      <c r="R38" s="489">
        <v>2</v>
      </c>
      <c r="S38" s="489"/>
      <c r="T38" s="39"/>
      <c r="U38" s="39"/>
      <c r="V38" s="62"/>
      <c r="W38" s="62"/>
      <c r="X38" s="74"/>
      <c r="Y38" s="36"/>
    </row>
    <row r="39" spans="1:31" s="37" customFormat="1" ht="15" customHeight="1">
      <c r="A39" s="36"/>
      <c r="B39" s="41"/>
      <c r="C39" s="39"/>
      <c r="D39" s="39"/>
      <c r="E39" s="285" t="s">
        <v>290</v>
      </c>
      <c r="F39" s="485">
        <f>'data input for certificate'!R33</f>
        <v>94</v>
      </c>
      <c r="G39" s="493"/>
      <c r="H39" s="44">
        <f>'data input for certificate'!S33</f>
        <v>93</v>
      </c>
      <c r="I39" s="39"/>
      <c r="J39" s="42"/>
      <c r="K39" s="43" t="s">
        <v>4</v>
      </c>
      <c r="L39" s="184">
        <f>ROUND((F39+H39)/2,0)</f>
        <v>94</v>
      </c>
      <c r="M39" s="70"/>
      <c r="N39" s="62"/>
      <c r="O39" s="39"/>
      <c r="P39" s="39"/>
      <c r="Q39" s="39"/>
      <c r="R39" s="39"/>
      <c r="S39" s="39"/>
      <c r="T39" s="39"/>
      <c r="U39" s="39"/>
      <c r="V39" s="62"/>
      <c r="W39" s="62"/>
      <c r="X39" s="74"/>
      <c r="Y39" s="36"/>
    </row>
    <row r="40" spans="1:31" s="37" customFormat="1" ht="15" customHeight="1">
      <c r="A40" s="36"/>
      <c r="B40" s="41"/>
      <c r="C40" s="39"/>
      <c r="D40" s="39"/>
      <c r="E40" s="285" t="s">
        <v>291</v>
      </c>
      <c r="F40" s="485">
        <f>'data input for certificate'!R34</f>
        <v>88</v>
      </c>
      <c r="G40" s="493"/>
      <c r="H40" s="44">
        <f>'data input for certificate'!S34</f>
        <v>88</v>
      </c>
      <c r="I40" s="39"/>
      <c r="J40" s="42"/>
      <c r="K40" s="43" t="s">
        <v>4</v>
      </c>
      <c r="L40" s="184">
        <f>ROUND((F40+H40)/2,0)</f>
        <v>88</v>
      </c>
      <c r="M40" s="271" t="s">
        <v>46</v>
      </c>
      <c r="N40" s="206"/>
      <c r="O40" s="495" t="s">
        <v>28</v>
      </c>
      <c r="P40" s="495"/>
      <c r="Q40" s="498" t="str">
        <f>IF(AND(T18&gt;0,T32&gt;0),CONCATENATE("0.85   x    ",TEXT(T18,"0"),"   x   ",TEXT(T32,"0")),"      0")</f>
        <v>0.85   x    1621   x   563</v>
      </c>
      <c r="R40" s="498"/>
      <c r="S40" s="498"/>
      <c r="T40" s="498"/>
      <c r="U40" s="43" t="s">
        <v>4</v>
      </c>
      <c r="V40" s="482">
        <f>ROUND(0.85*T18*T32/2,0)</f>
        <v>387865</v>
      </c>
      <c r="W40" s="487"/>
      <c r="X40" s="74"/>
      <c r="Y40" s="36"/>
    </row>
    <row r="41" spans="1:31" s="37" customFormat="1" ht="15" customHeight="1">
      <c r="A41" s="36"/>
      <c r="B41" s="41"/>
      <c r="C41" s="39"/>
      <c r="D41" s="39"/>
      <c r="E41" s="39"/>
      <c r="F41" s="39"/>
      <c r="G41" s="39"/>
      <c r="H41" s="39"/>
      <c r="I41" s="39"/>
      <c r="J41" s="76" t="s">
        <v>6</v>
      </c>
      <c r="K41" s="43" t="s">
        <v>4</v>
      </c>
      <c r="L41" s="184">
        <f>L38+L39+L40</f>
        <v>290</v>
      </c>
      <c r="M41" s="41"/>
      <c r="N41" s="39"/>
      <c r="O41" s="98">
        <v>2</v>
      </c>
      <c r="P41" s="75"/>
      <c r="Q41" s="39"/>
      <c r="R41" s="489">
        <v>2</v>
      </c>
      <c r="S41" s="489"/>
      <c r="T41" s="39"/>
      <c r="U41" s="42"/>
      <c r="V41" s="62"/>
      <c r="W41" s="62"/>
      <c r="X41" s="74"/>
      <c r="Y41" s="36"/>
    </row>
    <row r="42" spans="1:31" s="37" customFormat="1" ht="15" customHeight="1">
      <c r="A42" s="36"/>
      <c r="B42" s="41"/>
      <c r="C42" s="39"/>
      <c r="D42" s="39"/>
      <c r="E42" s="39"/>
      <c r="F42" s="39"/>
      <c r="G42" s="56" t="s">
        <v>54</v>
      </c>
      <c r="H42" s="62"/>
      <c r="I42" s="42"/>
      <c r="J42" s="75" t="s">
        <v>83</v>
      </c>
      <c r="K42" s="43" t="s">
        <v>4</v>
      </c>
      <c r="L42" s="184">
        <f>ROUND(L41/3,0)</f>
        <v>97</v>
      </c>
      <c r="M42" s="41"/>
      <c r="N42" s="39"/>
      <c r="O42" s="62" t="s">
        <v>59</v>
      </c>
      <c r="P42" s="62"/>
      <c r="Q42" s="39"/>
      <c r="R42" s="39"/>
      <c r="S42" s="39"/>
      <c r="T42" s="39"/>
      <c r="U42" s="43" t="s">
        <v>4</v>
      </c>
      <c r="V42" s="482">
        <f>V37+V40</f>
        <v>815995</v>
      </c>
      <c r="W42" s="488"/>
      <c r="X42" s="74"/>
      <c r="Y42" s="36"/>
    </row>
    <row r="43" spans="1:31" s="37" customFormat="1" ht="7.5" customHeight="1">
      <c r="A43" s="36"/>
      <c r="B43" s="41"/>
      <c r="C43" s="39"/>
      <c r="D43" s="39"/>
      <c r="E43" s="39"/>
      <c r="F43" s="39"/>
      <c r="G43" s="39"/>
      <c r="H43" s="39"/>
      <c r="I43" s="39"/>
      <c r="J43" s="117"/>
      <c r="K43" s="114"/>
      <c r="L43" s="39"/>
      <c r="M43" s="41"/>
      <c r="N43" s="39"/>
      <c r="O43" s="39"/>
      <c r="P43" s="39"/>
      <c r="Q43" s="39"/>
      <c r="R43" s="39"/>
      <c r="S43" s="39"/>
      <c r="T43" s="39"/>
      <c r="U43" s="39"/>
      <c r="V43" s="99"/>
      <c r="W43" s="100"/>
      <c r="X43" s="40"/>
      <c r="Y43" s="36"/>
    </row>
    <row r="44" spans="1:31" s="37" customFormat="1" ht="7.5" customHeight="1" thickBot="1">
      <c r="A44" s="36"/>
      <c r="B44" s="41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41"/>
      <c r="N44" s="39"/>
      <c r="O44" s="39"/>
      <c r="P44" s="39"/>
      <c r="Q44" s="39"/>
      <c r="R44" s="39"/>
      <c r="S44" s="39"/>
      <c r="T44" s="39"/>
      <c r="U44" s="39"/>
      <c r="V44" s="62"/>
      <c r="W44" s="62"/>
      <c r="X44" s="74"/>
      <c r="Y44" s="36"/>
    </row>
    <row r="45" spans="1:31" s="37" customFormat="1" ht="15" customHeight="1">
      <c r="A45" s="36"/>
      <c r="B45" s="279" t="s">
        <v>235</v>
      </c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41"/>
      <c r="N45" s="39"/>
      <c r="O45" s="492" t="s">
        <v>204</v>
      </c>
      <c r="P45" s="492"/>
      <c r="Q45" s="280">
        <f>V42</f>
        <v>815995</v>
      </c>
      <c r="R45" s="39"/>
      <c r="S45" s="39"/>
      <c r="T45" s="39"/>
      <c r="U45" s="281"/>
      <c r="V45" s="496">
        <f>ROUND(SQRT(V42),0)</f>
        <v>903</v>
      </c>
      <c r="W45" s="497"/>
      <c r="X45" s="282"/>
      <c r="Y45" s="36"/>
    </row>
    <row r="46" spans="1:31" s="37" customFormat="1" ht="15" customHeight="1" thickBot="1">
      <c r="A46" s="36"/>
      <c r="B46" s="53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201"/>
      <c r="Y46" s="36"/>
    </row>
    <row r="47" spans="1:31" s="37" customFormat="1" ht="15" customHeight="1" thickBot="1">
      <c r="A47" s="36"/>
      <c r="B47" s="41"/>
      <c r="C47" s="39"/>
      <c r="D47" s="62" t="s">
        <v>40</v>
      </c>
      <c r="E47" s="62"/>
      <c r="F47" s="62"/>
      <c r="G47" s="62"/>
      <c r="H47" s="62"/>
      <c r="I47" s="484" t="s">
        <v>92</v>
      </c>
      <c r="J47" s="484"/>
      <c r="K47" s="490" t="s">
        <v>6</v>
      </c>
      <c r="L47" s="35" t="s">
        <v>93</v>
      </c>
      <c r="M47" s="494" t="s">
        <v>42</v>
      </c>
      <c r="N47" s="34"/>
      <c r="O47" s="39"/>
      <c r="P47" s="484" t="str">
        <f>CONCATENATE(TEXT(L16,"####")," + ",(TEXT(V45,"####")))</f>
        <v>1379 + 903</v>
      </c>
      <c r="Q47" s="484"/>
      <c r="R47" s="490" t="s">
        <v>6</v>
      </c>
      <c r="S47" s="484" t="str">
        <f>IF(L16&gt;0,CONCATENATE(TEXT(L16,"####")," x ",(TEXT(V45,"####"))),"       x       ")</f>
        <v>1379 x 903</v>
      </c>
      <c r="T47" s="484"/>
      <c r="U47" s="484"/>
      <c r="V47" s="43" t="s">
        <v>4</v>
      </c>
      <c r="W47" s="105"/>
      <c r="X47" s="283">
        <f>IF(L34&gt;0,ROUND(((L16+V45)/4)+((L16*V45)/(12*L34)),0),0)</f>
        <v>999</v>
      </c>
      <c r="Y47" s="36"/>
      <c r="AB47" s="347">
        <f>X47</f>
        <v>999</v>
      </c>
      <c r="AC47" s="345"/>
      <c r="AD47" s="345"/>
      <c r="AE47" s="345"/>
    </row>
    <row r="48" spans="1:31" s="37" customFormat="1" ht="15" customHeight="1">
      <c r="A48" s="36"/>
      <c r="B48" s="41"/>
      <c r="C48" s="39"/>
      <c r="D48" s="39"/>
      <c r="E48" s="39"/>
      <c r="F48" s="39"/>
      <c r="G48" s="39"/>
      <c r="H48" s="39"/>
      <c r="I48" s="518">
        <v>4</v>
      </c>
      <c r="J48" s="518"/>
      <c r="K48" s="490"/>
      <c r="L48" s="34" t="s">
        <v>94</v>
      </c>
      <c r="M48" s="494"/>
      <c r="N48" s="34"/>
      <c r="O48" s="39"/>
      <c r="P48" s="494">
        <v>4</v>
      </c>
      <c r="Q48" s="494"/>
      <c r="R48" s="490"/>
      <c r="S48" s="494" t="str">
        <f>CONCATENATE("12 x ", TEXT(L34,"####"))</f>
        <v>12 x 242</v>
      </c>
      <c r="T48" s="494"/>
      <c r="U48" s="494"/>
      <c r="V48" s="39"/>
      <c r="W48" s="39"/>
      <c r="X48" s="40"/>
      <c r="Y48" s="36"/>
      <c r="AB48" s="348"/>
      <c r="AC48" s="345"/>
      <c r="AD48" s="345"/>
      <c r="AE48" s="345"/>
    </row>
    <row r="49" spans="1:31" s="37" customFormat="1" ht="15.75" customHeight="1" thickBot="1">
      <c r="A49" s="36"/>
      <c r="B49" s="500"/>
      <c r="C49" s="501"/>
      <c r="D49" s="501"/>
      <c r="E49" s="501"/>
      <c r="F49" s="501"/>
      <c r="G49" s="501"/>
      <c r="H49" s="501"/>
      <c r="I49" s="39"/>
      <c r="J49" s="39"/>
      <c r="K49" s="39"/>
      <c r="L49" s="39"/>
      <c r="M49" s="39"/>
      <c r="N49" s="39"/>
      <c r="O49" s="62"/>
      <c r="P49" s="62"/>
      <c r="Q49" s="62"/>
      <c r="R49" s="62"/>
      <c r="S49" s="62"/>
      <c r="T49" s="62"/>
      <c r="U49" s="39"/>
      <c r="V49" s="39"/>
      <c r="W49" s="39"/>
      <c r="X49" s="40"/>
      <c r="Y49" s="36"/>
      <c r="AB49" s="348"/>
      <c r="AC49" s="345"/>
      <c r="AD49" s="345"/>
      <c r="AE49" s="345"/>
    </row>
    <row r="50" spans="1:31" s="37" customFormat="1" ht="16.5" customHeight="1">
      <c r="A50" s="36"/>
      <c r="B50" s="519"/>
      <c r="C50" s="520"/>
      <c r="D50" s="520"/>
      <c r="E50" s="520"/>
      <c r="F50" s="520"/>
      <c r="G50" s="520"/>
      <c r="H50" s="520"/>
      <c r="I50" s="49"/>
      <c r="J50" s="49"/>
      <c r="K50" s="49"/>
      <c r="L50" s="49"/>
      <c r="M50" s="49"/>
      <c r="N50" s="49"/>
      <c r="O50" s="521" t="s">
        <v>60</v>
      </c>
      <c r="P50" s="522"/>
      <c r="Q50" s="522"/>
      <c r="R50" s="522"/>
      <c r="S50" s="522"/>
      <c r="T50" s="522"/>
      <c r="U50" s="516" t="s">
        <v>29</v>
      </c>
      <c r="V50" s="516"/>
      <c r="W50" s="517"/>
      <c r="X50" s="284">
        <f>IF(X47+X13&gt;1000,"TOO LARGE",X47+X13)</f>
        <v>999</v>
      </c>
      <c r="Y50" s="36"/>
      <c r="AB50" s="347">
        <f>X50</f>
        <v>999</v>
      </c>
      <c r="AC50" s="345"/>
      <c r="AD50" s="345"/>
      <c r="AE50" s="345"/>
    </row>
    <row r="51" spans="1:31" s="37" customFormat="1" ht="15" customHeight="1">
      <c r="A51" s="36"/>
      <c r="B51" s="77" t="s">
        <v>348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46"/>
      <c r="N51" s="46"/>
      <c r="O51" s="46"/>
      <c r="P51" s="46"/>
      <c r="Q51" s="36"/>
      <c r="R51" s="36"/>
      <c r="S51" s="36"/>
      <c r="T51" s="36"/>
      <c r="U51" s="36"/>
      <c r="V51" s="36"/>
      <c r="W51" s="36"/>
      <c r="X51" s="36"/>
      <c r="Y51" s="36"/>
      <c r="AB51" s="348"/>
      <c r="AC51" s="345"/>
      <c r="AD51" s="345"/>
      <c r="AE51" s="345"/>
    </row>
    <row r="52" spans="1:31" s="37" customFormat="1" ht="4.5" customHeight="1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AB52" s="348"/>
      <c r="AC52" s="345"/>
      <c r="AD52" s="345"/>
      <c r="AE52" s="345"/>
    </row>
    <row r="53" spans="1:31" s="1" customFormat="1" ht="14.4" customHeight="1">
      <c r="A53" s="118"/>
      <c r="B53" s="438" t="str">
        <f>'status of document'!B5</f>
        <v>Effective 1st April 2018</v>
      </c>
      <c r="C53" s="438"/>
      <c r="D53" s="438"/>
      <c r="E53" s="274"/>
      <c r="F53" s="274"/>
      <c r="G53" s="274"/>
      <c r="H53" s="274"/>
      <c r="I53" s="164"/>
      <c r="J53" s="275"/>
      <c r="K53" s="275"/>
      <c r="L53" s="275"/>
      <c r="M53" s="275"/>
      <c r="N53" s="275"/>
      <c r="O53" s="275"/>
      <c r="P53" s="275"/>
      <c r="Q53" s="275"/>
      <c r="R53" s="275"/>
      <c r="S53" s="275"/>
      <c r="T53" s="275"/>
      <c r="U53" s="167" t="str">
        <f>'status of document'!B2</f>
        <v>FS and RC release version 1</v>
      </c>
      <c r="V53" s="167"/>
      <c r="W53" s="275"/>
      <c r="X53" s="276" t="str">
        <f>'status of document'!B7</f>
        <v>© 2018, IRSA</v>
      </c>
      <c r="AA53" s="341" t="s">
        <v>329</v>
      </c>
      <c r="AB53" s="349">
        <f>L16/4</f>
        <v>344.75</v>
      </c>
      <c r="AC53" s="346"/>
      <c r="AD53" s="346"/>
      <c r="AE53" s="346"/>
    </row>
    <row r="54" spans="1:31" s="37" customFormat="1" ht="15" customHeight="1">
      <c r="AA54" s="341"/>
      <c r="AB54" s="350"/>
      <c r="AC54" s="345"/>
      <c r="AD54" s="345"/>
      <c r="AE54" s="345"/>
    </row>
    <row r="55" spans="1:31" s="37" customFormat="1" ht="15" customHeight="1">
      <c r="U55" s="80"/>
      <c r="AA55" s="341" t="s">
        <v>330</v>
      </c>
      <c r="AB55" s="350">
        <f>1000.499999-AB53</f>
        <v>655.749999</v>
      </c>
      <c r="AC55" s="345"/>
      <c r="AD55" s="345"/>
      <c r="AE55" s="345"/>
    </row>
    <row r="56" spans="1:31" s="37" customFormat="1" ht="15" customHeight="1">
      <c r="AA56" s="341"/>
      <c r="AB56" s="350"/>
      <c r="AC56" s="345"/>
      <c r="AD56" s="345"/>
      <c r="AE56" s="345"/>
    </row>
    <row r="57" spans="1:31" s="37" customFormat="1" ht="15" customHeight="1" thickBot="1">
      <c r="AA57" s="341" t="s">
        <v>331</v>
      </c>
      <c r="AB57" s="350">
        <f>0.25+L16/(12*L34)</f>
        <v>0.72486225895316803</v>
      </c>
      <c r="AC57" s="345"/>
      <c r="AD57" s="345"/>
      <c r="AE57" s="345"/>
    </row>
    <row r="58" spans="1:31" s="37" customFormat="1" ht="15" customHeight="1">
      <c r="AA58" s="341"/>
      <c r="AB58" s="350"/>
      <c r="AC58" s="345"/>
      <c r="AD58" s="342" t="s">
        <v>332</v>
      </c>
      <c r="AE58" s="343" t="s">
        <v>333</v>
      </c>
    </row>
    <row r="59" spans="1:31" s="37" customFormat="1" ht="15" customHeight="1">
      <c r="AA59" s="341" t="s">
        <v>323</v>
      </c>
      <c r="AB59" s="350">
        <f>IF(ROUND(AB55/AB57,0)&gt;TRUNC(AB55/AB57),TRUNC(AB55/AB57)+0.4999,AB55/AB57)</f>
        <v>904.49990000000003</v>
      </c>
      <c r="AC59" s="345"/>
      <c r="AD59" s="351">
        <f>ROUND(AB59,0)</f>
        <v>904</v>
      </c>
      <c r="AE59" s="352">
        <f>AD59+0.499999</f>
        <v>904.499999</v>
      </c>
    </row>
    <row r="60" spans="1:31" s="37" customFormat="1" ht="15" customHeight="1">
      <c r="AA60" s="341"/>
      <c r="AB60" s="350"/>
      <c r="AC60" s="345"/>
      <c r="AD60" s="351"/>
      <c r="AE60" s="352"/>
    </row>
    <row r="61" spans="1:31" s="37" customFormat="1" ht="15" customHeight="1">
      <c r="AA61" s="341" t="s">
        <v>324</v>
      </c>
      <c r="AB61" s="350">
        <f>AB59^2</f>
        <v>818120.06910001009</v>
      </c>
      <c r="AC61" s="345"/>
      <c r="AD61" s="351">
        <f>ROUNDDOWN(AB61,0)</f>
        <v>818120</v>
      </c>
      <c r="AE61" s="352">
        <f>AD61+0.499999</f>
        <v>818120.49999899999</v>
      </c>
    </row>
    <row r="62" spans="1:31" s="37" customFormat="1" ht="15" customHeight="1">
      <c r="AA62" s="341"/>
      <c r="AB62" s="350"/>
      <c r="AC62" s="345"/>
      <c r="AD62" s="351"/>
      <c r="AE62" s="352"/>
    </row>
    <row r="63" spans="1:31" s="37" customFormat="1" ht="15" customHeight="1">
      <c r="AA63" s="341" t="s">
        <v>328</v>
      </c>
      <c r="AB63" s="350">
        <f>AB61-V40</f>
        <v>430255.06910001009</v>
      </c>
      <c r="AC63" s="345"/>
      <c r="AD63" s="351">
        <f>ROUNDDOWN(AB63,0)</f>
        <v>430255</v>
      </c>
      <c r="AE63" s="352">
        <f>AD63+0.499999</f>
        <v>430255.49999899999</v>
      </c>
    </row>
    <row r="64" spans="1:31" s="37" customFormat="1" ht="15" customHeight="1">
      <c r="AA64" s="341"/>
      <c r="AB64" s="350"/>
      <c r="AC64" s="345"/>
      <c r="AD64" s="351"/>
      <c r="AE64" s="352"/>
    </row>
    <row r="65" spans="27:31" s="37" customFormat="1" ht="15" customHeight="1">
      <c r="AA65" s="341" t="s">
        <v>325</v>
      </c>
      <c r="AB65" s="350">
        <f>AE63/(O17*0.5)</f>
        <v>403.99577464694835</v>
      </c>
      <c r="AC65" s="345"/>
      <c r="AD65" s="353">
        <f>ROUNDDOWN(AB65,0)</f>
        <v>403</v>
      </c>
      <c r="AE65" s="352"/>
    </row>
    <row r="66" spans="27:31">
      <c r="AA66" s="341"/>
      <c r="AB66" s="350"/>
      <c r="AC66" s="345"/>
      <c r="AD66" s="351"/>
      <c r="AE66" s="352"/>
    </row>
    <row r="67" spans="27:31">
      <c r="AA67" s="341" t="s">
        <v>326</v>
      </c>
      <c r="AB67" s="350">
        <f>AE63/(0.5*O29)</f>
        <v>2140.5746268606963</v>
      </c>
      <c r="AC67" s="345"/>
      <c r="AD67" s="353">
        <f>ROUNDDOWN(AB67,0)</f>
        <v>2140</v>
      </c>
      <c r="AE67" s="352"/>
    </row>
    <row r="68" spans="27:31">
      <c r="AA68" s="341"/>
      <c r="AB68" s="350"/>
      <c r="AC68" s="345"/>
      <c r="AD68" s="351"/>
      <c r="AE68" s="352"/>
    </row>
    <row r="69" spans="27:31">
      <c r="AA69" s="341" t="s">
        <v>327</v>
      </c>
      <c r="AB69" s="350">
        <f>AB61-V37</f>
        <v>389990.06910001009</v>
      </c>
      <c r="AC69" s="345"/>
      <c r="AD69" s="351">
        <f>ROUNDDOWN(AB69,0)</f>
        <v>389990</v>
      </c>
      <c r="AE69" s="352">
        <f>AD69+0.499999</f>
        <v>389990.49999899999</v>
      </c>
    </row>
    <row r="70" spans="27:31">
      <c r="AA70" s="341"/>
      <c r="AB70" s="350"/>
      <c r="AC70" s="345"/>
      <c r="AD70" s="351"/>
      <c r="AE70" s="354"/>
    </row>
    <row r="71" spans="27:31">
      <c r="AA71" s="341" t="s">
        <v>326</v>
      </c>
      <c r="AB71" s="350">
        <f>AE69/(0.5*0.85*T32)</f>
        <v>1629.8840246536411</v>
      </c>
      <c r="AC71" s="345"/>
      <c r="AD71" s="353">
        <f>ROUNDDOWN(AB71,0)</f>
        <v>1629</v>
      </c>
      <c r="AE71" s="354"/>
    </row>
    <row r="72" spans="27:31">
      <c r="AA72" s="341"/>
      <c r="AB72" s="350"/>
      <c r="AC72" s="345"/>
      <c r="AD72" s="351"/>
      <c r="AE72" s="354"/>
    </row>
    <row r="73" spans="27:31" ht="15.6" thickBot="1">
      <c r="AA73" s="341" t="s">
        <v>325</v>
      </c>
      <c r="AB73" s="350">
        <f>AE69/(0.5*0.85*T18)</f>
        <v>566.08556809376933</v>
      </c>
      <c r="AC73" s="345"/>
      <c r="AD73" s="355">
        <f>ROUNDDOWN(AB73,0)</f>
        <v>566</v>
      </c>
      <c r="AE73" s="356"/>
    </row>
  </sheetData>
  <mergeCells count="60">
    <mergeCell ref="U50:W50"/>
    <mergeCell ref="I47:J47"/>
    <mergeCell ref="I48:J48"/>
    <mergeCell ref="K47:K48"/>
    <mergeCell ref="B49:H49"/>
    <mergeCell ref="B50:H50"/>
    <mergeCell ref="O50:T50"/>
    <mergeCell ref="F39:G39"/>
    <mergeCell ref="F37:G37"/>
    <mergeCell ref="F40:G40"/>
    <mergeCell ref="Q32:S32"/>
    <mergeCell ref="H34:K34"/>
    <mergeCell ref="B53:D53"/>
    <mergeCell ref="F38:G38"/>
    <mergeCell ref="M28:O28"/>
    <mergeCell ref="F21:G21"/>
    <mergeCell ref="F24:G24"/>
    <mergeCell ref="V12:W12"/>
    <mergeCell ref="F14:G14"/>
    <mergeCell ref="I28:J28"/>
    <mergeCell ref="N22:P22"/>
    <mergeCell ref="U24:V24"/>
    <mergeCell ref="U26:V26"/>
    <mergeCell ref="U28:V28"/>
    <mergeCell ref="V11:W11"/>
    <mergeCell ref="M47:M48"/>
    <mergeCell ref="O40:P40"/>
    <mergeCell ref="P47:Q47"/>
    <mergeCell ref="P48:Q48"/>
    <mergeCell ref="V45:W45"/>
    <mergeCell ref="Q40:T40"/>
    <mergeCell ref="Q37:T37"/>
    <mergeCell ref="R38:S38"/>
    <mergeCell ref="S48:U48"/>
    <mergeCell ref="F10:G10"/>
    <mergeCell ref="F11:G11"/>
    <mergeCell ref="I12:J12"/>
    <mergeCell ref="O45:P45"/>
    <mergeCell ref="I32:J32"/>
    <mergeCell ref="I14:J14"/>
    <mergeCell ref="I24:J24"/>
    <mergeCell ref="I30:J30"/>
    <mergeCell ref="I21:J21"/>
    <mergeCell ref="I31:J31"/>
    <mergeCell ref="V9:W9"/>
    <mergeCell ref="S47:U47"/>
    <mergeCell ref="V10:W10"/>
    <mergeCell ref="I13:J13"/>
    <mergeCell ref="V40:W40"/>
    <mergeCell ref="V42:W42"/>
    <mergeCell ref="R41:S41"/>
    <mergeCell ref="R47:R48"/>
    <mergeCell ref="V37:W37"/>
    <mergeCell ref="U21:V22"/>
    <mergeCell ref="K4:L4"/>
    <mergeCell ref="U4:X4"/>
    <mergeCell ref="V7:W7"/>
    <mergeCell ref="V8:W8"/>
    <mergeCell ref="V5:W5"/>
    <mergeCell ref="V6:W6"/>
  </mergeCells>
  <phoneticPr fontId="0" type="noConversion"/>
  <printOptions horizontalCentered="1" verticalCentered="1"/>
  <pageMargins left="0.59055118110236227" right="0.59055118110236227" top="0.59055118110236227" bottom="0.59055118110236227" header="0" footer="0.19685039370078741"/>
  <pageSetup paperSize="9" scale="67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5</vt:i4>
      </vt:variant>
    </vt:vector>
  </HeadingPairs>
  <TitlesOfParts>
    <vt:vector size="11" baseType="lpstr">
      <vt:lpstr>status of document</vt:lpstr>
      <vt:lpstr>bridge bow hollow</vt:lpstr>
      <vt:lpstr>minimum B and J dimensions</vt:lpstr>
      <vt:lpstr>data input for certificate</vt:lpstr>
      <vt:lpstr>certificate page 1 - cover</vt:lpstr>
      <vt:lpstr>certificate page 2 - rating</vt:lpstr>
      <vt:lpstr>'bridge bow hollow'!Druckbereich</vt:lpstr>
      <vt:lpstr>'certificate page 1 - cover'!Druckbereich</vt:lpstr>
      <vt:lpstr>'certificate page 2 - rating'!Druckbereich</vt:lpstr>
      <vt:lpstr>'data input for certificate'!Druckbereich</vt:lpstr>
      <vt:lpstr>'minimum B and J dimensions'!Druckbereich</vt:lpstr>
    </vt:vector>
  </TitlesOfParts>
  <Company>A1 Consultants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Grubisa</dc:creator>
  <cp:lastModifiedBy>Faas, Henning</cp:lastModifiedBy>
  <cp:lastPrinted>2016-03-28T11:01:16Z</cp:lastPrinted>
  <dcterms:created xsi:type="dcterms:W3CDTF">2003-10-30T16:00:36Z</dcterms:created>
  <dcterms:modified xsi:type="dcterms:W3CDTF">2018-02-28T12:30:10Z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